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960" tabRatio="928"/>
  </bookViews>
  <sheets>
    <sheet name="规则说明！" sheetId="62" r:id="rId1"/>
    <sheet name="US-原数据" sheetId="55" r:id="rId2"/>
    <sheet name="CA-原数据" sheetId="56" r:id="rId3"/>
    <sheet name="JP-原数据" sheetId="57" r:id="rId4"/>
    <sheet name="UK-原数据" sheetId="61" r:id="rId5"/>
    <sheet name="自发运费" sheetId="8" r:id="rId6"/>
    <sheet name="SKU-亚" sheetId="59" r:id="rId7"/>
    <sheet name="SKU-自" sheetId="60" r:id="rId8"/>
  </sheets>
  <definedNames>
    <definedName name="_xlnm._FilterDatabase" localSheetId="5" hidden="1">自发运费!$A$2:$Y$21</definedName>
  </definedNames>
  <calcPr calcId="144525" concurrentCalc="0"/>
</workbook>
</file>

<file path=xl/comments1.xml><?xml version="1.0" encoding="utf-8"?>
<comments xmlns="http://schemas.openxmlformats.org/spreadsheetml/2006/main">
  <authors>
    <author>ami</author>
  </authors>
  <commentList>
    <comment ref="K1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EUB=（（G首重单价+H续重）*0.01）*F重量+挂号费</t>
        </r>
      </text>
    </comment>
    <comment ref="L1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此列最终为快递账单运费，因账单为月结只能等到下月初才会收到账单，所以发货后先设为=预估运费</t>
        </r>
      </text>
    </comment>
    <comment ref="O1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核算差额，为0的即为正常
快递账单-预估运费</t>
        </r>
      </text>
    </comment>
  </commentList>
</comments>
</file>

<file path=xl/comments2.xml><?xml version="1.0" encoding="utf-8"?>
<comments xmlns="http://schemas.openxmlformats.org/spreadsheetml/2006/main">
  <authors>
    <author>ami</author>
    <author>Administrator</author>
    <author>mandy</author>
  </authors>
  <commentList>
    <comment ref="A1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美国/亚马逊发货：us亚
美国/国内自己发货：us自
加拿大/亚马逊发货：CA亚
加拿大/国内自己发货：CA自
英国/亚马逊发货：UK亚
英国/国内自己发货：UK自
日本/亚马逊发货：JP亚
日本/国内自己发货：JP自</t>
        </r>
      </text>
    </comment>
    <comment ref="AG1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合仓费（y列）+仓储费（z列）+ 利润（ag列）的合计数，再乘以汇率（g列）
</t>
        </r>
      </text>
    </comment>
    <comment ref="X2" authorId="1">
      <text>
        <r>
          <rPr>
            <b/>
            <sz val="9"/>
            <rFont val="宋体"/>
            <charset val="134"/>
          </rPr>
          <t>2020-4-3从3.68到3.81</t>
        </r>
        <r>
          <rPr>
            <sz val="9"/>
            <rFont val="宋体"/>
            <charset val="134"/>
          </rPr>
          <t xml:space="preserve">
</t>
        </r>
      </text>
    </comment>
    <comment ref="A15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美国/亚马逊发货：us亚
美国/国内自己发货：us自
加拿大/亚马逊发货：CA亚
加拿大/国内自己发货：CA自
英国/亚马逊发货：UK亚
英国/国内自己发货：UK自
日本/亚马逊发货：JP亚
日本/国内自己发货：JP自</t>
        </r>
      </text>
    </comment>
    <comment ref="AG15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合仓费（y列）+仓储费（z列）+ 利润（ag列）的合计数，再乘以汇率（g列）
</t>
        </r>
      </text>
    </comment>
    <comment ref="AA16" authorId="1">
      <text>
        <r>
          <rPr>
            <b/>
            <sz val="9"/>
            <rFont val="宋体"/>
            <charset val="134"/>
          </rPr>
          <t>2020-6-5 从24.99到25.99</t>
        </r>
        <r>
          <rPr>
            <sz val="9"/>
            <rFont val="宋体"/>
            <charset val="134"/>
          </rPr>
          <t xml:space="preserve">
2021-4-9 从3加币的coupon
2021-4-23 从25.99到22.99
2021-6-1 做3加币的coupon</t>
        </r>
      </text>
    </comment>
    <comment ref="AA17" authorId="1">
      <text>
        <r>
          <rPr>
            <b/>
            <sz val="9"/>
            <rFont val="宋体"/>
            <charset val="134"/>
          </rPr>
          <t>2019-6-14 从21.99 到22.99</t>
        </r>
        <r>
          <rPr>
            <sz val="9"/>
            <rFont val="宋体"/>
            <charset val="134"/>
          </rPr>
          <t xml:space="preserve">
2020-9-22 从22.99到23.99
2021-4-9 从23.99到21.99</t>
        </r>
      </text>
    </comment>
    <comment ref="A21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美国/亚马逊发货：us亚
美国/国内自己发货：us自
加拿大/亚马逊发货：CA亚
加拿大/国内自己发货：CA自
英国/亚马逊发货：UK亚
英国/国内自己发货：UK自
日本/亚马逊发货：JP亚
日本/国内自己发货：JP自</t>
        </r>
      </text>
    </comment>
    <comment ref="AG21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合仓费（y列）+仓储费（z列）+ 利润（ag列）的合计数，再乘以汇率（g列）
</t>
        </r>
      </text>
    </comment>
    <comment ref="Q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2020-5-15:45*1.11+14=63.95 从55到65
2020-6-17 从65到70费用
2020-7-27 关税是7.5%。DDP 150 附加费是7块、公斤 公式是45*8.75燃油费+5块（平均30公斤每公斤块的处理费DDP150）+10.5每一票关税7.5%也是按照30公斤来计算平摊）算出来等于71.44取值为73
2021-11-12 从73到80
2021-12-29 从80到91（（51(协议价）+16附加费）*1.2215+150清关费（ddp)+关税（申报金额*比如7%）+20%增值税=91
</t>
        </r>
      </text>
    </comment>
    <comment ref="A31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美国/亚马逊发货：us亚
美国/国内自己发货：us自
加拿大/亚马逊发货：CA亚
加拿大/国内自己发货：CA自
英国/亚马逊发货：UK亚
英国/国内自己发货：UK自
日本/亚马逊发货：JP亚
日本/国内自己发货：JP自</t>
        </r>
      </text>
    </comment>
    <comment ref="AG31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合仓费（y列）+仓储费（z列）+ 利润（ag列）的合计数，再乘以汇率（g列）
</t>
        </r>
      </text>
    </comment>
    <comment ref="AA35" authorId="1">
      <text>
        <r>
          <rPr>
            <b/>
            <sz val="9"/>
            <rFont val="宋体"/>
            <charset val="134"/>
          </rPr>
          <t>2002-6-9 做10%coupon</t>
        </r>
        <r>
          <rPr>
            <sz val="9"/>
            <rFont val="宋体"/>
            <charset val="134"/>
          </rPr>
          <t xml:space="preserve">
220-8-19 从1589到1299
2020-10-9 打8折
2020-11-25做8折黑五活动
2020-12-1 在做9折的折扣</t>
        </r>
      </text>
    </comment>
    <comment ref="AA36" authorId="2">
      <text>
        <r>
          <rPr>
            <b/>
            <sz val="9"/>
            <rFont val="宋体"/>
            <charset val="134"/>
          </rPr>
          <t>2020-12-15 做200coupon</t>
        </r>
        <r>
          <rPr>
            <sz val="9"/>
            <rFont val="宋体"/>
            <charset val="134"/>
          </rPr>
          <t xml:space="preserve">
2021-1-22 从2099到1889</t>
        </r>
      </text>
    </comment>
  </commentList>
</comments>
</file>

<file path=xl/comments3.xml><?xml version="1.0" encoding="utf-8"?>
<comments xmlns="http://schemas.openxmlformats.org/spreadsheetml/2006/main">
  <authors>
    <author>ami</author>
    <author>asus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美国/亚马逊发货：us亚
美国/国内自己发货：us自
加拿大/亚马逊发货：CA亚
加拿大/国内自己发货：CA自
英国/亚马逊发货：UK亚
英国/国内自己发货：UK自
日本/亚马逊发货：JP亚
日本/国内自己发货：JP自</t>
        </r>
      </text>
    </comment>
    <comment ref="A8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美国/亚马逊发货：us亚
美国/国内自己发货：us自
加拿大/亚马逊发货：CA亚
加拿大/国内自己发货：CA自
英国/亚马逊发货：UK亚
英国/国内自己发货：UK自
日本/亚马逊发货：JP亚
日本/国内自己发货：JP自</t>
        </r>
      </text>
    </comment>
    <comment ref="A13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美国/亚马逊发货：us亚
美国/国内自己发货：us自
加拿大/亚马逊发货：CA亚
加拿大/国内自己发货：CA自
英国/亚马逊发货：UK亚
英国/国内自己发货：UK自
日本/亚马逊发货：JP亚
日本/国内自己发货：JP自</t>
        </r>
      </text>
    </comment>
    <comment ref="E14" authorId="1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9-22 涨价 单件9</t>
        </r>
      </text>
    </comment>
    <comment ref="U14" authorId="2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6-21 10.99</t>
        </r>
        <r>
          <rPr>
            <sz val="9"/>
            <rFont val="宋体"/>
            <charset val="134"/>
          </rPr>
          <t>降价</t>
        </r>
        <r>
          <rPr>
            <sz val="9"/>
            <rFont val="Tahoma"/>
            <charset val="134"/>
          </rPr>
          <t>9.99
9-22 面料涨价 9.99调价10.99</t>
        </r>
      </text>
    </comment>
    <comment ref="E15" authorId="1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9-22 涨价 单件9</t>
        </r>
      </text>
    </comment>
    <comment ref="U15" authorId="2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6-21 10.99</t>
        </r>
        <r>
          <rPr>
            <sz val="9"/>
            <rFont val="宋体"/>
            <charset val="134"/>
          </rPr>
          <t>降价</t>
        </r>
        <r>
          <rPr>
            <sz val="9"/>
            <rFont val="Tahoma"/>
            <charset val="134"/>
          </rPr>
          <t>9.99
9-22 面料涨价 9.99调价10.99</t>
        </r>
      </text>
    </comment>
    <comment ref="A23" authorId="0">
      <text>
        <r>
          <rPr>
            <b/>
            <sz val="9"/>
            <rFont val="宋体"/>
            <charset val="134"/>
          </rPr>
          <t>ami:</t>
        </r>
        <r>
          <rPr>
            <sz val="9"/>
            <rFont val="宋体"/>
            <charset val="134"/>
          </rPr>
          <t xml:space="preserve">
美国/亚马逊发货：us亚
美国/国内自己发货：us自
加拿大/亚马逊发货：CA亚
加拿大/国内自己发货：CA自
英国/亚马逊发货：UK亚
英国/国内自己发货：UK自
日本/亚马逊发货：JP亚
日本/国内自己发货：JP自</t>
        </r>
      </text>
    </comment>
    <comment ref="U24" authorId="2">
      <text>
        <r>
          <rPr>
            <b/>
            <sz val="9"/>
            <rFont val="宋体"/>
            <charset val="134"/>
          </rPr>
          <t>2019-5-8 从1499到1239</t>
        </r>
        <r>
          <rPr>
            <sz val="9"/>
            <rFont val="宋体"/>
            <charset val="134"/>
          </rPr>
          <t xml:space="preserve">
</t>
        </r>
      </text>
    </comment>
    <comment ref="W2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1.2-1.14打85折
积分200
</t>
        </r>
      </text>
    </comment>
    <comment ref="U25" authorId="2">
      <text>
        <r>
          <rPr>
            <b/>
            <sz val="9"/>
            <rFont val="宋体"/>
            <charset val="134"/>
          </rPr>
          <t>2019-5-8 从1499到1239</t>
        </r>
        <r>
          <rPr>
            <sz val="9"/>
            <rFont val="宋体"/>
            <charset val="134"/>
          </rPr>
          <t xml:space="preserve">
</t>
        </r>
      </text>
    </comment>
    <comment ref="W25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1.2-1.14打85折
积分200
</t>
        </r>
      </text>
    </comment>
  </commentList>
</comments>
</file>

<file path=xl/sharedStrings.xml><?xml version="1.0" encoding="utf-8"?>
<sst xmlns="http://schemas.openxmlformats.org/spreadsheetml/2006/main" count="814" uniqueCount="377">
  <si>
    <r>
      <t>财务对账核算工具</t>
    </r>
    <r>
      <rPr>
        <sz val="18"/>
        <color theme="1"/>
        <rFont val="宋体"/>
        <charset val="134"/>
        <scheme val="minor"/>
      </rPr>
      <t xml:space="preserve">
版本：v2.0.0</t>
    </r>
  </si>
  <si>
    <t>一、工作表名称说明：
1. 原数据系列
    【US-原数据】或【美国-原数据】
    【CA-原数据】或【加拿大-原数据】
    【JP-原数据】或【日本-原数据】
    【UK-原数据】或【英国-原数据】
    以上工作表若不为空数据则保留，为空数据可去除！
2. 辅助数据系列
    【自发运费】
    【SKU-亚】
    【SKU-自】
二、核算后会追加相应工作表
    【核算后报表-US】
    【核算后报表-CA】
    【核算后报表-JP】
    【核算后报表-UK】
三、各国家的汇率和平均运费可在上传页面设置；可记忆上次设置的各项值；
四、若后期需增加国家数据，请联系开发进行再次开发！</t>
  </si>
  <si>
    <t>Includes Amazon Marketplace, Fulfillment by Amazon (FBA), and Amazon Webstore transactions</t>
  </si>
  <si>
    <t>All amounts in USD, unless specified</t>
  </si>
  <si>
    <t>Definitions:</t>
  </si>
  <si>
    <t>Sales tax collected: Includes sales tax collected from buyers for product sales, shipping, and gift wrap.</t>
  </si>
  <si>
    <t>Selling fees: Includes variable closing fees and referral fees.</t>
  </si>
  <si>
    <t>Other transaction fees: Includes shipping chargebacks, shipping holdbacks, per-item fees  and sales tax collection fees.</t>
  </si>
  <si>
    <t>Other: Includes non-order transaction amounts. For more details, see the "Type" and "Description" columns for each order ID.</t>
  </si>
  <si>
    <t>date/time</t>
  </si>
  <si>
    <t>settlement id</t>
  </si>
  <si>
    <t>type</t>
  </si>
  <si>
    <t>order id</t>
  </si>
  <si>
    <t>sku</t>
  </si>
  <si>
    <t>description</t>
  </si>
  <si>
    <t>quantity</t>
  </si>
  <si>
    <t>marketplace</t>
  </si>
  <si>
    <t>account type</t>
  </si>
  <si>
    <t>fulfillment</t>
  </si>
  <si>
    <t>order city</t>
  </si>
  <si>
    <t>order state</t>
  </si>
  <si>
    <t>order postal</t>
  </si>
  <si>
    <t>tax collection model</t>
  </si>
  <si>
    <t>product sales</t>
  </si>
  <si>
    <t>product sales tax</t>
  </si>
  <si>
    <t>shipping credits</t>
  </si>
  <si>
    <t>shipping credits tax</t>
  </si>
  <si>
    <t>gift wrap credits</t>
  </si>
  <si>
    <t>giftwrap credits tax</t>
  </si>
  <si>
    <t>Regulatory Fee</t>
  </si>
  <si>
    <t>Tax On Regulatory Fee</t>
  </si>
  <si>
    <t>promotional rebates</t>
  </si>
  <si>
    <t>promotional rebates tax</t>
  </si>
  <si>
    <t>marketplace withheld tax</t>
  </si>
  <si>
    <t>selling fees</t>
  </si>
  <si>
    <t>fba fees</t>
  </si>
  <si>
    <t>other transaction fees</t>
  </si>
  <si>
    <t>other</t>
  </si>
  <si>
    <t>total</t>
  </si>
  <si>
    <t>Jan 1, 2022 12:13:52 AM PST</t>
  </si>
  <si>
    <t>Refund</t>
  </si>
  <si>
    <t>111-2367255-4217827</t>
  </si>
  <si>
    <t>RS03-BK-0-5</t>
  </si>
  <si>
    <t>Romperinbox Black Baby Bodysuit Short Sleeve Unisex Newborn Solid Basic Sublimation Onsies 5 Pack 0-24 Months (0-3M, Black 5 Pack)</t>
  </si>
  <si>
    <t>amazon.com</t>
  </si>
  <si>
    <t>Standard Orders</t>
  </si>
  <si>
    <t>Amazon</t>
  </si>
  <si>
    <t>ROY</t>
  </si>
  <si>
    <t>UT</t>
  </si>
  <si>
    <t>84067-8712</t>
  </si>
  <si>
    <t>MarketplaceFacilitator</t>
  </si>
  <si>
    <t>Jan 1, 2022 5:46:16 PM PST</t>
  </si>
  <si>
    <t>Order</t>
  </si>
  <si>
    <t>111-0784718-3313015</t>
  </si>
  <si>
    <t>Turtleneck-black-9</t>
  </si>
  <si>
    <t>RomperinBox Solid Black Baby Turtleneck Bodysuit Long Sleeve Outfits (Black,9-12 Months)</t>
  </si>
  <si>
    <t>LOS ANGELES</t>
  </si>
  <si>
    <t>CA</t>
  </si>
  <si>
    <t>90035-1237</t>
  </si>
  <si>
    <t>Turtleneck-black-6</t>
  </si>
  <si>
    <t>RomperinBox Solid Black Baby Turtleneck Bodysuit Long Sleeve Outfits (Black,6-9 Months)</t>
  </si>
  <si>
    <t>Jan 1, 2022 3:59:32 AM PST</t>
  </si>
  <si>
    <t>Adjustment</t>
  </si>
  <si>
    <t>RL-black-6-1</t>
  </si>
  <si>
    <t>FBA Inventory Reimbursement - Damaged:Warehouse</t>
  </si>
  <si>
    <t>Jan 1, 2022 5:33:13 AM PST</t>
  </si>
  <si>
    <t>112-0509342-5049811</t>
  </si>
  <si>
    <t>RS03-BK-0-3</t>
  </si>
  <si>
    <t>FBA Inventory Reimbursement - Customer Return</t>
  </si>
  <si>
    <t>Jan 1, 2022 5:33:16 AM PST</t>
  </si>
  <si>
    <t>RL-green-12-1</t>
  </si>
  <si>
    <t>Jan 1, 2022 7:46:50 AM PST</t>
  </si>
  <si>
    <t>114-0514361-3086636</t>
  </si>
  <si>
    <t>Jan 1, 2022 8:50:38 AM PST</t>
  </si>
  <si>
    <t>113-8643651-2109804</t>
  </si>
  <si>
    <t>RS03-BK-12-3</t>
  </si>
  <si>
    <t>Jan 1, 2022 11:12:52 AM PST</t>
  </si>
  <si>
    <t>FBA Customer Return Fee</t>
  </si>
  <si>
    <t>114-1866183-5569816</t>
  </si>
  <si>
    <t>X002C99P0J</t>
  </si>
  <si>
    <t>FBA Customer Return Per Unit Fee</t>
  </si>
  <si>
    <t>Amazon.com</t>
  </si>
  <si>
    <t>Jan 1, 2022 1:34:20 PM PST</t>
  </si>
  <si>
    <t>RL-red-0-1</t>
  </si>
  <si>
    <t>FBA Inventory Reimbursement - General Adjustment</t>
  </si>
  <si>
    <t>Jan 1, 2022 2:01:01 PM PST</t>
  </si>
  <si>
    <t>112-4931031-7701864</t>
  </si>
  <si>
    <t>Gentleman-WineR-L-1-18</t>
  </si>
  <si>
    <t>ROMPERINBOX Infant Baby Boys Dress Shirt Bodysuit Formal Short Long Sleeve Rompers for Wedding Party (Wine Red Long Sleeve, 18-24 Months)</t>
  </si>
  <si>
    <t>FITCHBURG</t>
  </si>
  <si>
    <t>WI</t>
  </si>
  <si>
    <t>53711-5338</t>
  </si>
  <si>
    <t>Jan 2, 2022 11:35:13 AM PST</t>
  </si>
  <si>
    <t>Order_Retrocharge</t>
  </si>
  <si>
    <t>114-4539330-5972245</t>
  </si>
  <si>
    <t>Base Tax</t>
  </si>
  <si>
    <t>Jan 1, 2022 4:14:38 PM PST</t>
  </si>
  <si>
    <t>Refund_Retrocharge</t>
  </si>
  <si>
    <t>112-3422667-0883420</t>
  </si>
  <si>
    <t>Jan 2, 2022 2:53:59 AM PST</t>
  </si>
  <si>
    <t>Service Fee</t>
  </si>
  <si>
    <t>Cost of Advertising</t>
  </si>
  <si>
    <t>Jan 3, 2022 7:13:53 AM PST</t>
  </si>
  <si>
    <t>FBA Inventory Placement Service Fee</t>
  </si>
  <si>
    <t>Jan 7, 2022 2:02:50 PM PST</t>
  </si>
  <si>
    <t>FBA Inventory Fee</t>
  </si>
  <si>
    <t>FBA Inventory Storage Fee</t>
  </si>
  <si>
    <t>Jan 10, 2022 4:43:49 PM PST</t>
  </si>
  <si>
    <t>xlbccv4658</t>
  </si>
  <si>
    <t>FBA Removal Order: Disposal Fee</t>
  </si>
  <si>
    <t>Jan 14, 2022 7:14:47 AM PST</t>
  </si>
  <si>
    <t>Transfer</t>
  </si>
  <si>
    <t>To your account ending in: 977, Bank Transfer ID: Q6AB8B3H03MF6JG</t>
  </si>
  <si>
    <t>Jan 21, 2022 7:24:28 AM PST</t>
  </si>
  <si>
    <t>FBA Long-Term Storage Fee</t>
  </si>
  <si>
    <t>111-1215019-1301814</t>
  </si>
  <si>
    <t>Sports-navy-6-D</t>
  </si>
  <si>
    <t>RomperinBox Custom Football Sport Jersey, Unisex Baby Romper Personalized Customization 0-24 Months Navy</t>
  </si>
  <si>
    <t>Seller</t>
  </si>
  <si>
    <t>HOUSTON</t>
  </si>
  <si>
    <t>TEXAS</t>
  </si>
  <si>
    <t>77068-3108</t>
  </si>
  <si>
    <t>All amounts in CAD, unless specified</t>
  </si>
  <si>
    <t>Other transaction fees: Includes shipping chargebacks and shipping holdbacks.</t>
  </si>
  <si>
    <t>Jan. 1, 2022 8:59:19 p.m. PST</t>
  </si>
  <si>
    <t>701-8987994-5876230</t>
  </si>
  <si>
    <t>RL03-BK-12-3-CC</t>
  </si>
  <si>
    <t>Romperinbox Plain Unisex Baby Bodysuits Packs (12-18M, Black L 3 Pack)</t>
  </si>
  <si>
    <t>amazon.ca</t>
  </si>
  <si>
    <t>Maple</t>
  </si>
  <si>
    <t>Ontario</t>
  </si>
  <si>
    <t>L6A 4L1</t>
  </si>
  <si>
    <t>Jan. 1, 2022 10:22:07 p.m. PST</t>
  </si>
  <si>
    <t>701-7321085-3869027</t>
  </si>
  <si>
    <t>Gentleman-BK-L-1-12-CC</t>
  </si>
  <si>
    <t>Jan. 5, 2022 9:02:38 a.m. PST</t>
  </si>
  <si>
    <t>xlco5PS440</t>
  </si>
  <si>
    <t>Amazon.ca</t>
  </si>
  <si>
    <t>Jan. 5, 2022 9:49:40 p.m. PST</t>
  </si>
  <si>
    <t>Jan 16, 2022 6:18:33 a.m. PST</t>
  </si>
  <si>
    <t>To account ending with: 529</t>
  </si>
  <si>
    <t xml:space="preserve">Amazon 出品サービス、フルフィルメント by Amazon (FBA) </t>
  </si>
  <si>
    <t>指定のない場合、単位は円</t>
  </si>
  <si>
    <t>定義：</t>
  </si>
  <si>
    <t>売上税徴収額：商品売上、配送料、ギフト包装料として購入者から徴収した売上税</t>
  </si>
  <si>
    <t>販売手数料：カテゴリー成約料と販売手数料が含まれます。</t>
  </si>
  <si>
    <t>トランザクションに関するその他の手数料：FBA 配送料のチャージバックまたは、出品者出荷の配送料にかかる手数料</t>
  </si>
  <si>
    <t>その他：注文以外に関する取引金額。詳しくは、各注文番号のトランザクションの種類と、説明の各項目をご覧ください。</t>
  </si>
  <si>
    <t>日付/時間</t>
  </si>
  <si>
    <t>決済番号</t>
  </si>
  <si>
    <t>トランザクションの種類</t>
  </si>
  <si>
    <t>注文番号</t>
  </si>
  <si>
    <t>SKU</t>
  </si>
  <si>
    <t>説明</t>
  </si>
  <si>
    <t>数量</t>
  </si>
  <si>
    <t>Amazon 出品サービス</t>
  </si>
  <si>
    <t>フルフィルメント</t>
  </si>
  <si>
    <t>市町村</t>
  </si>
  <si>
    <t>都道府県</t>
  </si>
  <si>
    <t>郵便番号</t>
  </si>
  <si>
    <t>税金徴収型</t>
  </si>
  <si>
    <t>商品売上</t>
  </si>
  <si>
    <t>商品の売上税</t>
  </si>
  <si>
    <t>配送料</t>
  </si>
  <si>
    <t>配送料の税金</t>
  </si>
  <si>
    <t>ギフト包装手数料</t>
  </si>
  <si>
    <t>ギフト包装クレジットの税金</t>
  </si>
  <si>
    <t>Amazonポイントの費用</t>
  </si>
  <si>
    <t>プロモーション割引額</t>
  </si>
  <si>
    <t>プロモーション割引の税金</t>
  </si>
  <si>
    <t>源泉徴収税を伴うマーケットプレイス</t>
  </si>
  <si>
    <t>手数料</t>
  </si>
  <si>
    <t>FBA 手数料</t>
  </si>
  <si>
    <t>トランザクションに関するその他の手数料</t>
  </si>
  <si>
    <t>その他</t>
  </si>
  <si>
    <t>合計</t>
  </si>
  <si>
    <t>2022/01/02 3:36:04 JST</t>
  </si>
  <si>
    <t>注文外料金</t>
  </si>
  <si>
    <t>広告費用</t>
  </si>
  <si>
    <t>2022/01/03 20:57:33 JST</t>
  </si>
  <si>
    <t>注文</t>
  </si>
  <si>
    <t>249-8705276-9723825</t>
  </si>
  <si>
    <t>RS-Shrit-WH-9-RG</t>
  </si>
  <si>
    <t>ベビー フォーマル ロンパース ボディースーツ シャツ 蝶ネクタイ付き ポケット付き 前開き 半袖 長袖 男の子 ?</t>
  </si>
  <si>
    <t>amazon.jp</t>
  </si>
  <si>
    <t>出品者</t>
  </si>
  <si>
    <t>大阪府</t>
  </si>
  <si>
    <t>597-0052</t>
  </si>
  <si>
    <t>2022/01/04 17:10:47 JST</t>
  </si>
  <si>
    <t>249-4992338-6975020</t>
  </si>
  <si>
    <t>RL-P-PB06-3-3</t>
  </si>
  <si>
    <t>romperinbox ベビー服 ロンパース 男の子 パジャマ かわいい 前開き 長袖 黒 足つき 肌着 綿100% 3枚セット 出産祝い?</t>
  </si>
  <si>
    <t>千葉県</t>
  </si>
  <si>
    <t>270-1352</t>
  </si>
  <si>
    <t>2022/01/04 20:04:46 JST</t>
  </si>
  <si>
    <t>249-0064743-1771014</t>
  </si>
  <si>
    <t>RL-P-PB06-3-9</t>
  </si>
  <si>
    <t>東京都</t>
  </si>
  <si>
    <t>154-0001</t>
  </si>
  <si>
    <t>2022/01/05 17:56:43 JST</t>
  </si>
  <si>
    <t>249-7795976-4597412</t>
  </si>
  <si>
    <t>RL-SET-Bk-Flower-70</t>
  </si>
  <si>
    <t>romperinbox ベビー 女の子 ロンパース パンツ ヘアバンド セットアップ 3点セット 秋冬 長袖 花柄 フリル ベビー服</t>
  </si>
  <si>
    <t>神奈川県</t>
  </si>
  <si>
    <t>252-0141</t>
  </si>
  <si>
    <t>2022/01/06 18:09:59 JST</t>
  </si>
  <si>
    <t>249-2364291-5651841</t>
  </si>
  <si>
    <t>RL-Rainbow-Right-4</t>
  </si>
  <si>
    <t>ベビー ワンピース Tシャツ ロンＴ 姉妹 双子 お揃い 虹 レインボー キッズ 女の子 長袖 秋冬 可愛い 普段着 お?</t>
  </si>
  <si>
    <t>沖縄県</t>
  </si>
  <si>
    <t>901-1303</t>
  </si>
  <si>
    <t>2022/01/06 18:46:21 JST</t>
  </si>
  <si>
    <t>249-2044634-4883041</t>
  </si>
  <si>
    <t>RL-P-PB06-3-12</t>
  </si>
  <si>
    <t>熊本県</t>
  </si>
  <si>
    <t>861-5525</t>
  </si>
  <si>
    <t>2022/01/07 1:28:17 JST</t>
  </si>
  <si>
    <t>FBA 在庫関連の手数料</t>
  </si>
  <si>
    <t>FBA保管手数料：</t>
  </si>
  <si>
    <t>Amazon.co.jp</t>
  </si>
  <si>
    <t>2022/01/11 7:34:50 JST</t>
  </si>
  <si>
    <t>振込み</t>
  </si>
  <si>
    <t>次が末尾の口座へ： 200</t>
  </si>
  <si>
    <t>2022/01/19 6:33:26 JST</t>
  </si>
  <si>
    <t>調整</t>
  </si>
  <si>
    <t>手数料の調整：</t>
  </si>
  <si>
    <t>2022/01/11 23:56:59 JST</t>
  </si>
  <si>
    <t>返金</t>
  </si>
  <si>
    <t>249-5567331-2803864</t>
  </si>
  <si>
    <t>RS03-W-18-3-J-G</t>
  </si>
  <si>
    <t>romperinbox ベビー服 ロンパース 長袖 半袖 春 冬 男の子 女の子 黒 白 グレー 綿100% 新生児 赤ちゃん 肌着 下着 ボ?</t>
  </si>
  <si>
    <t>埼玉県</t>
  </si>
  <si>
    <t>349-0218</t>
  </si>
  <si>
    <t>Includes Amazon Marketplace, Fulfilment by Amazon (FBA), and Amazon Webstore transactions</t>
  </si>
  <si>
    <t>All amounts in GBP, unless specified</t>
  </si>
  <si>
    <t>Sales tax collected: Includes sales tax collected from buyers for product sales, delivery, and gift wrap.</t>
  </si>
  <si>
    <t>Other transaction fees: Includes delivery chargebacks, delivery holdbacks.</t>
  </si>
  <si>
    <t>fulfilment</t>
  </si>
  <si>
    <t>postage credits</t>
  </si>
  <si>
    <t>2 Apr 2022 22:36:33 UTC</t>
  </si>
  <si>
    <t>4e957a7d-bccc-451e-96b0-0e7c409cae41</t>
  </si>
  <si>
    <t>Save 5% on 3 Pack Baby Kimono Onesies</t>
  </si>
  <si>
    <t>Amazon.co.uk</t>
  </si>
  <si>
    <t>3 Apr 2022 21:33:41 UTC</t>
  </si>
  <si>
    <t>205-6028342-7013127</t>
  </si>
  <si>
    <t>BSUKXK-3-BK-WH-GY-L-NB</t>
  </si>
  <si>
    <t>DEFAHN Baby Side Snap Bodysuit 3-Pack Long Sleeve with Mitten Cuffs 100% Cotton Kimono Onesies for Newborn Boy Girl (3 Pack-BK-WH-GY, Newborn)</t>
  </si>
  <si>
    <t>amazon.co.uk</t>
  </si>
  <si>
    <t>BIRMINGHAM</t>
  </si>
  <si>
    <t>B29 7QA</t>
  </si>
  <si>
    <t>7 Apr 2022 02:48:05 UTC</t>
  </si>
  <si>
    <t>FBA storage fee</t>
  </si>
  <si>
    <t>7 Apr 2022 07:57:12 UTC</t>
  </si>
  <si>
    <t>205-2656881-8490729</t>
  </si>
  <si>
    <t>X001B0JA57</t>
  </si>
  <si>
    <t>14 Apr 2022 02:44:19 UTC</t>
  </si>
  <si>
    <t>To account ending in: 942</t>
  </si>
  <si>
    <t>14 Apr 2022 19:14:33 UTC</t>
  </si>
  <si>
    <t>205-8799405-8644309</t>
  </si>
  <si>
    <t>BSUK16-Swim-BU Mermaid-S-12M</t>
  </si>
  <si>
    <t>14 Apr 2022 21:06:59 UTC</t>
  </si>
  <si>
    <t>Liquidations</t>
  </si>
  <si>
    <t>X001HZXF0H</t>
  </si>
  <si>
    <t>DEFAHN Baby Girl Bodysuit Ruffle Onsies Bell Sleeve Romper Solid 100% Cotton Infant Clothes Outfit for 0-24 Months (Black, 0-3 Months)</t>
  </si>
  <si>
    <t>23 Apr 2022 04:06:01 UTC</t>
  </si>
  <si>
    <t>Subscription</t>
  </si>
  <si>
    <t>日期</t>
  </si>
  <si>
    <t>订单号</t>
  </si>
  <si>
    <t>单号</t>
  </si>
  <si>
    <t>国家</t>
  </si>
  <si>
    <t>转单号</t>
  </si>
  <si>
    <t>重量（kg）</t>
  </si>
  <si>
    <t>验关费/首重单价</t>
  </si>
  <si>
    <t>礼品袋发票/续重单价</t>
  </si>
  <si>
    <t>货款/挂号费</t>
  </si>
  <si>
    <t>折扣</t>
  </si>
  <si>
    <t>预估运费</t>
  </si>
  <si>
    <t>实际运费</t>
  </si>
  <si>
    <t>快递类别</t>
  </si>
  <si>
    <t>快递</t>
  </si>
  <si>
    <t>差额</t>
  </si>
  <si>
    <t>EMMA</t>
  </si>
  <si>
    <t>R</t>
  </si>
  <si>
    <t>BK</t>
  </si>
  <si>
    <t>燕云</t>
  </si>
  <si>
    <t>日本</t>
  </si>
  <si>
    <t>WISH</t>
  </si>
  <si>
    <t>速卖通</t>
  </si>
  <si>
    <t>重复</t>
  </si>
  <si>
    <t>检验</t>
  </si>
  <si>
    <t>承上月</t>
  </si>
  <si>
    <t>-</t>
  </si>
  <si>
    <t>线上</t>
  </si>
  <si>
    <t>LY977927382CN</t>
  </si>
  <si>
    <t>LS148685758CN</t>
  </si>
  <si>
    <t>美国</t>
  </si>
  <si>
    <t>R-us</t>
  </si>
  <si>
    <t>发货渠道</t>
  </si>
  <si>
    <t>品名</t>
  </si>
  <si>
    <t>编号</t>
  </si>
  <si>
    <t>货款</t>
  </si>
  <si>
    <t>汇率</t>
  </si>
  <si>
    <t>产品成本</t>
  </si>
  <si>
    <t>单重</t>
  </si>
  <si>
    <t>1磅</t>
  </si>
  <si>
    <t>包装g</t>
  </si>
  <si>
    <t>包装kg</t>
  </si>
  <si>
    <t>磅</t>
  </si>
  <si>
    <t>长</t>
  </si>
  <si>
    <t>宽</t>
  </si>
  <si>
    <t>高</t>
  </si>
  <si>
    <t>FBA头程</t>
  </si>
  <si>
    <t>佣金比</t>
  </si>
  <si>
    <t>佣金</t>
  </si>
  <si>
    <t>取件费（基础服务费）</t>
  </si>
  <si>
    <t>取件费税款</t>
  </si>
  <si>
    <t>物流配送费</t>
  </si>
  <si>
    <t>物流配送费税款</t>
  </si>
  <si>
    <t>FBA费用</t>
  </si>
  <si>
    <t>合仓费/仓储费</t>
  </si>
  <si>
    <t>AMAZON</t>
  </si>
  <si>
    <t>售价</t>
  </si>
  <si>
    <t>备注</t>
  </si>
  <si>
    <t>TOTAL$</t>
  </si>
  <si>
    <t>P卡</t>
  </si>
  <si>
    <t>账户</t>
  </si>
  <si>
    <t>利润</t>
  </si>
  <si>
    <t>利润人民币</t>
  </si>
  <si>
    <t>利润率</t>
  </si>
  <si>
    <t>us亚</t>
  </si>
  <si>
    <t>黑色短袖三件套</t>
  </si>
  <si>
    <t>黑色短袖五件套</t>
  </si>
  <si>
    <t>黑色长袖单件</t>
  </si>
  <si>
    <t>红色长袖单件</t>
  </si>
  <si>
    <t>高领黑色单件</t>
  </si>
  <si>
    <t>ca亚</t>
  </si>
  <si>
    <t>黑色长袖三件套</t>
  </si>
  <si>
    <t>黑色领结衬衫单件</t>
  </si>
  <si>
    <t>UK亚</t>
  </si>
  <si>
    <t>发夹</t>
  </si>
  <si>
    <t>OU-S2-A-Bows-5 Pairs</t>
  </si>
  <si>
    <t>OU-S2-B-Bows-5 Pairs</t>
  </si>
  <si>
    <t>发带</t>
  </si>
  <si>
    <t>OU-FD02-5 Pack</t>
  </si>
  <si>
    <t>OU-FD04-8 Pack</t>
  </si>
  <si>
    <t>JP亚</t>
  </si>
  <si>
    <t>长/inch</t>
  </si>
  <si>
    <t>EUB实际快递</t>
  </si>
  <si>
    <t>EUB后台设置价格</t>
  </si>
  <si>
    <t>DHL实际快递</t>
  </si>
  <si>
    <t>DHL后台设收款</t>
  </si>
  <si>
    <t>FBA价格</t>
  </si>
  <si>
    <t>EUB到账</t>
  </si>
  <si>
    <t>DHL到账</t>
  </si>
  <si>
    <t>EUB利润</t>
  </si>
  <si>
    <t>DHL利润</t>
  </si>
  <si>
    <t>EUB利润人民币</t>
  </si>
  <si>
    <t>DHL利润人民币</t>
  </si>
  <si>
    <t>EUB利润率</t>
  </si>
  <si>
    <t>DHL利润率</t>
  </si>
  <si>
    <t>us自</t>
  </si>
  <si>
    <t>定制球服蓝色单件</t>
  </si>
  <si>
    <t>未调价</t>
  </si>
  <si>
    <t>ca自</t>
  </si>
  <si>
    <t>UK自</t>
  </si>
  <si>
    <t>白长3件套</t>
  </si>
  <si>
    <t>OU-03-3-L-White-9-C</t>
  </si>
  <si>
    <t>OU-03-3-L-White-12-C</t>
  </si>
  <si>
    <t>EUB运费收取</t>
  </si>
  <si>
    <t>林道实际</t>
  </si>
  <si>
    <t>林道运费收取</t>
  </si>
  <si>
    <t>林道到账</t>
  </si>
  <si>
    <t>林道利润</t>
  </si>
  <si>
    <t>林道人民币</t>
  </si>
  <si>
    <t>林道利润率</t>
  </si>
  <si>
    <t>JP自</t>
  </si>
  <si>
    <t>白色短袖三件套</t>
  </si>
</sst>
</file>

<file path=xl/styles.xml><?xml version="1.0" encoding="utf-8"?>
<styleSheet xmlns="http://schemas.openxmlformats.org/spreadsheetml/2006/main">
  <numFmts count="25">
    <numFmt numFmtId="7" formatCode="&quot;￥&quot;#,##0.00;&quot;￥&quot;\-#,##0.00"/>
    <numFmt numFmtId="176" formatCode="0_ "/>
    <numFmt numFmtId="177" formatCode="[$CAD]\ #,##0.00;[$CAD]\ \-#,##0.00"/>
    <numFmt numFmtId="178" formatCode="0.0_ "/>
    <numFmt numFmtId="179" formatCode="#,##0.00_ "/>
    <numFmt numFmtId="180" formatCode="[$£-809]#,##0.00_);[Red]\([$£-809]#,##0.00\)"/>
    <numFmt numFmtId="26" formatCode="\$#,##0.00_);[Red]\(\$#,##0.00\)"/>
    <numFmt numFmtId="181" formatCode="[$£-809]#,##0.00;[Red][$£-809]#,##0.00"/>
    <numFmt numFmtId="182" formatCode="[$¥-411]#,##0.00;\-[$¥-411]#,##0.00"/>
    <numFmt numFmtId="183" formatCode="[$CAD]\ #,##0.00_);[Red]\([$CAD]\ #,##0.00\)"/>
    <numFmt numFmtId="43" formatCode="_ * #,##0.00_ ;_ * \-#,##0.00_ ;_ * &quot;-&quot;??_ ;_ @_ "/>
    <numFmt numFmtId="184" formatCode="0.0_);[Red]\(0.0\)"/>
    <numFmt numFmtId="185" formatCode="[$￥-411]#,##0.00_);\([$￥-411]#,##0.00\)"/>
    <numFmt numFmtId="186" formatCode="#,##0.0000000_ "/>
    <numFmt numFmtId="187" formatCode="[$£-809]#,##0.00;\-[$£-809]#,##0.00"/>
    <numFmt numFmtId="188" formatCode="#,##0.00_);[Red]\(#,##0.00\)"/>
    <numFmt numFmtId="189" formatCode="0.00;[Red]0.00"/>
    <numFmt numFmtId="190" formatCode="0.00_);[Red]\(0.00\)"/>
    <numFmt numFmtId="191" formatCode="0.00_ "/>
    <numFmt numFmtId="192" formatCode="\$#,##0.0000;\-\$#,##0.0000"/>
    <numFmt numFmtId="42" formatCode="_ &quot;￥&quot;* #,##0_ ;_ &quot;￥&quot;* \-#,##0_ ;_ &quot;￥&quot;* &quot;-&quot;_ ;_ @_ "/>
    <numFmt numFmtId="193" formatCode="[$￥-411]#,##0.00_);[Red]\([$￥-411]#,##0.00\)"/>
    <numFmt numFmtId="194" formatCode="\$#,##0.00;\-\$#,##0.00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B05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5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top"/>
    </xf>
    <xf numFmtId="0" fontId="0" fillId="18" borderId="9" applyNumberFormat="0" applyFont="0" applyAlignment="0" applyProtection="0">
      <alignment vertical="center"/>
    </xf>
    <xf numFmtId="41" fontId="13" fillId="0" borderId="0" applyFont="0" applyFill="0" applyBorder="0" applyAlignment="0" applyProtection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15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2" fillId="0" borderId="5" applyNumberFormat="0" applyFill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3" fillId="0" borderId="1" xfId="7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94" fontId="3" fillId="0" borderId="1" xfId="0" applyNumberFormat="1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87" fontId="0" fillId="0" borderId="1" xfId="0" applyNumberFormat="1" applyFill="1" applyBorder="1" applyAlignment="1">
      <alignment horizontal="center" vertical="center"/>
    </xf>
    <xf numFmtId="185" fontId="1" fillId="0" borderId="1" xfId="0" applyNumberFormat="1" applyFont="1" applyFill="1" applyBorder="1" applyAlignment="1">
      <alignment horizontal="left" vertical="center"/>
    </xf>
    <xf numFmtId="190" fontId="2" fillId="3" borderId="1" xfId="0" applyNumberFormat="1" applyFont="1" applyFill="1" applyBorder="1" applyAlignment="1">
      <alignment horizontal="left" vertical="center" wrapText="1"/>
    </xf>
    <xf numFmtId="186" fontId="3" fillId="0" borderId="1" xfId="0" applyNumberFormat="1" applyFont="1" applyFill="1" applyBorder="1" applyAlignment="1">
      <alignment horizontal="left" vertical="center"/>
    </xf>
    <xf numFmtId="189" fontId="0" fillId="0" borderId="1" xfId="0" applyNumberFormat="1" applyFill="1" applyBorder="1" applyAlignment="1">
      <alignment horizontal="center" vertical="center"/>
    </xf>
    <xf numFmtId="186" fontId="0" fillId="0" borderId="1" xfId="0" applyNumberFormat="1" applyFill="1" applyBorder="1" applyAlignment="1">
      <alignment horizontal="center" vertical="center"/>
    </xf>
    <xf numFmtId="184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90" fontId="3" fillId="0" borderId="1" xfId="0" applyNumberFormat="1" applyFont="1" applyFill="1" applyBorder="1" applyAlignment="1">
      <alignment horizontal="left" vertical="center"/>
    </xf>
    <xf numFmtId="190" fontId="0" fillId="0" borderId="1" xfId="0" applyNumberFormat="1" applyFill="1" applyBorder="1" applyAlignment="1">
      <alignment horizontal="center" vertical="center"/>
    </xf>
    <xf numFmtId="190" fontId="1" fillId="0" borderId="1" xfId="0" applyNumberFormat="1" applyFont="1" applyFill="1" applyBorder="1" applyAlignment="1">
      <alignment horizontal="left" vertical="center"/>
    </xf>
    <xf numFmtId="194" fontId="2" fillId="3" borderId="1" xfId="0" applyNumberFormat="1" applyFont="1" applyFill="1" applyBorder="1" applyAlignment="1">
      <alignment horizontal="left" vertical="center" wrapText="1"/>
    </xf>
    <xf numFmtId="194" fontId="2" fillId="2" borderId="1" xfId="0" applyNumberFormat="1" applyFont="1" applyFill="1" applyBorder="1" applyAlignment="1">
      <alignment horizontal="left" vertical="center" wrapText="1"/>
    </xf>
    <xf numFmtId="181" fontId="0" fillId="3" borderId="1" xfId="0" applyNumberFormat="1" applyFill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 vertical="center"/>
    </xf>
    <xf numFmtId="193" fontId="1" fillId="0" borderId="1" xfId="0" applyNumberFormat="1" applyFont="1" applyFill="1" applyBorder="1" applyAlignment="1">
      <alignment horizontal="left" vertical="center"/>
    </xf>
    <xf numFmtId="26" fontId="3" fillId="0" borderId="1" xfId="0" applyNumberFormat="1" applyFont="1" applyFill="1" applyBorder="1" applyAlignment="1">
      <alignment horizontal="left" vertical="center"/>
    </xf>
    <xf numFmtId="9" fontId="3" fillId="0" borderId="1" xfId="0" applyNumberFormat="1" applyFont="1" applyFill="1" applyBorder="1" applyAlignment="1">
      <alignment horizontal="left" vertical="center"/>
    </xf>
    <xf numFmtId="187" fontId="5" fillId="5" borderId="1" xfId="0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93" fontId="2" fillId="3" borderId="1" xfId="0" applyNumberFormat="1" applyFont="1" applyFill="1" applyBorder="1" applyAlignment="1">
      <alignment horizontal="left" vertical="center"/>
    </xf>
    <xf numFmtId="193" fontId="3" fillId="0" borderId="1" xfId="0" applyNumberFormat="1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left" vertical="center"/>
    </xf>
    <xf numFmtId="192" fontId="3" fillId="0" borderId="1" xfId="0" applyNumberFormat="1" applyFont="1" applyFill="1" applyBorder="1" applyAlignment="1">
      <alignment horizontal="left" vertical="center"/>
    </xf>
    <xf numFmtId="180" fontId="0" fillId="0" borderId="1" xfId="0" applyNumberFormat="1" applyFill="1" applyBorder="1" applyAlignment="1">
      <alignment horizontal="center" vertical="center"/>
    </xf>
    <xf numFmtId="180" fontId="0" fillId="3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73" applyFont="1" applyFill="1" applyBorder="1" applyAlignment="1">
      <alignment horizontal="left" vertical="center"/>
    </xf>
    <xf numFmtId="188" fontId="3" fillId="0" borderId="1" xfId="0" applyNumberFormat="1" applyFont="1" applyFill="1" applyBorder="1" applyAlignment="1">
      <alignment horizontal="left" vertical="center"/>
    </xf>
    <xf numFmtId="10" fontId="3" fillId="0" borderId="1" xfId="0" applyNumberFormat="1" applyFont="1" applyFill="1" applyBorder="1" applyAlignment="1">
      <alignment horizontal="left" vertical="center"/>
    </xf>
    <xf numFmtId="188" fontId="0" fillId="3" borderId="1" xfId="0" applyNumberFormat="1" applyFill="1" applyBorder="1" applyAlignment="1">
      <alignment horizontal="center" vertical="center"/>
    </xf>
    <xf numFmtId="10" fontId="0" fillId="0" borderId="1" xfId="0" applyNumberFormat="1" applyFont="1" applyFill="1" applyBorder="1">
      <alignment vertical="center"/>
    </xf>
    <xf numFmtId="4" fontId="1" fillId="0" borderId="1" xfId="0" applyNumberFormat="1" applyFont="1" applyFill="1" applyBorder="1" applyAlignment="1">
      <alignment horizontal="left" vertical="center"/>
    </xf>
    <xf numFmtId="10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178" fontId="0" fillId="0" borderId="1" xfId="0" applyNumberFormat="1" applyFill="1" applyBorder="1" applyAlignment="1">
      <alignment horizontal="left" vertical="center"/>
    </xf>
    <xf numFmtId="180" fontId="0" fillId="0" borderId="1" xfId="0" applyNumberForma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right" vertical="center"/>
    </xf>
    <xf numFmtId="184" fontId="3" fillId="0" borderId="1" xfId="7" applyNumberFormat="1" applyFont="1" applyFill="1" applyBorder="1" applyAlignment="1">
      <alignment horizontal="left" vertical="center"/>
    </xf>
    <xf numFmtId="191" fontId="0" fillId="0" borderId="1" xfId="0" applyNumberFormat="1" applyFill="1" applyBorder="1" applyAlignment="1">
      <alignment horizontal="left" vertical="center"/>
    </xf>
    <xf numFmtId="186" fontId="0" fillId="0" borderId="1" xfId="0" applyNumberFormat="1" applyFill="1" applyBorder="1" applyAlignment="1">
      <alignment horizontal="left" vertical="center"/>
    </xf>
    <xf numFmtId="189" fontId="0" fillId="0" borderId="1" xfId="0" applyNumberFormat="1" applyFill="1" applyBorder="1" applyAlignment="1">
      <alignment horizontal="left" vertical="center"/>
    </xf>
    <xf numFmtId="190" fontId="0" fillId="0" borderId="1" xfId="0" applyNumberFormat="1" applyFill="1" applyBorder="1" applyAlignment="1">
      <alignment horizontal="left" vertical="center"/>
    </xf>
    <xf numFmtId="183" fontId="2" fillId="2" borderId="2" xfId="0" applyNumberFormat="1" applyFont="1" applyFill="1" applyBorder="1" applyAlignment="1">
      <alignment horizontal="left" vertical="center"/>
    </xf>
    <xf numFmtId="183" fontId="3" fillId="0" borderId="1" xfId="0" applyNumberFormat="1" applyFont="1" applyFill="1" applyBorder="1" applyAlignment="1">
      <alignment horizontal="left" vertical="center"/>
    </xf>
    <xf numFmtId="9" fontId="0" fillId="0" borderId="1" xfId="0" applyNumberFormat="1" applyFill="1" applyBorder="1" applyAlignment="1">
      <alignment horizontal="left" vertical="center"/>
    </xf>
    <xf numFmtId="187" fontId="0" fillId="0" borderId="1" xfId="0" applyNumberForma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183" fontId="3" fillId="0" borderId="3" xfId="0" applyNumberFormat="1" applyFont="1" applyFill="1" applyBorder="1" applyAlignment="1">
      <alignment horizontal="left" vertical="center"/>
    </xf>
    <xf numFmtId="187" fontId="1" fillId="0" borderId="1" xfId="0" applyNumberFormat="1" applyFont="1" applyFill="1" applyBorder="1" applyAlignment="1">
      <alignment horizontal="left" vertical="center"/>
    </xf>
    <xf numFmtId="182" fontId="1" fillId="0" borderId="1" xfId="0" applyNumberFormat="1" applyFont="1" applyFill="1" applyBorder="1" applyAlignment="1">
      <alignment horizontal="left" vertical="center"/>
    </xf>
    <xf numFmtId="9" fontId="3" fillId="0" borderId="1" xfId="0" applyNumberFormat="1" applyFont="1" applyFill="1" applyBorder="1" applyAlignment="1">
      <alignment horizontal="left" vertical="center" wrapText="1"/>
    </xf>
    <xf numFmtId="183" fontId="3" fillId="0" borderId="4" xfId="0" applyNumberFormat="1" applyFont="1" applyFill="1" applyBorder="1" applyAlignment="1">
      <alignment horizontal="left" vertical="center"/>
    </xf>
    <xf numFmtId="7" fontId="3" fillId="0" borderId="1" xfId="0" applyNumberFormat="1" applyFont="1" applyFill="1" applyBorder="1" applyAlignment="1">
      <alignment horizontal="left" vertical="center"/>
    </xf>
    <xf numFmtId="188" fontId="0" fillId="0" borderId="1" xfId="0" applyNumberFormat="1" applyFill="1" applyBorder="1" applyAlignment="1">
      <alignment horizontal="left" vertical="center"/>
    </xf>
    <xf numFmtId="10" fontId="0" fillId="0" borderId="1" xfId="0" applyNumberForma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58" fontId="0" fillId="0" borderId="0" xfId="0" applyNumberFormat="1" applyFont="1" applyAlignment="1">
      <alignment horizontal="left" vertical="center"/>
    </xf>
    <xf numFmtId="49" fontId="0" fillId="0" borderId="0" xfId="0" applyNumberFormat="1" applyFont="1">
      <alignment vertical="center"/>
    </xf>
    <xf numFmtId="191" fontId="0" fillId="0" borderId="0" xfId="0" applyNumberFormat="1" applyFont="1">
      <alignment vertical="center"/>
    </xf>
    <xf numFmtId="49" fontId="8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58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>
      <alignment vertical="center"/>
    </xf>
    <xf numFmtId="0" fontId="7" fillId="0" borderId="0" xfId="57" applyFont="1" applyAlignment="1">
      <alignment horizontal="center" wrapText="1"/>
    </xf>
    <xf numFmtId="9" fontId="8" fillId="0" borderId="0" xfId="0" applyNumberFormat="1" applyFont="1" applyFill="1" applyAlignment="1">
      <alignment horizontal="center" wrapText="1"/>
    </xf>
    <xf numFmtId="191" fontId="9" fillId="0" borderId="0" xfId="0" applyNumberFormat="1" applyFont="1" applyFill="1" applyAlignment="1">
      <alignment horizontal="center" wrapText="1"/>
    </xf>
    <xf numFmtId="191" fontId="0" fillId="0" borderId="0" xfId="0" applyNumberFormat="1" applyBorder="1">
      <alignment vertical="center"/>
    </xf>
    <xf numFmtId="191" fontId="0" fillId="0" borderId="0" xfId="0" applyNumberFormat="1" applyFont="1" applyBorder="1">
      <alignment vertical="center"/>
    </xf>
    <xf numFmtId="191" fontId="0" fillId="0" borderId="0" xfId="0" applyNumberFormat="1" applyFill="1">
      <alignment vertical="center"/>
    </xf>
    <xf numFmtId="191" fontId="0" fillId="0" borderId="0" xfId="0" applyNumberFormat="1">
      <alignment vertical="center"/>
    </xf>
    <xf numFmtId="191" fontId="9" fillId="0" borderId="0" xfId="0" applyNumberFormat="1" applyFont="1" applyFill="1" applyAlignment="1">
      <alignment wrapText="1"/>
    </xf>
    <xf numFmtId="0" fontId="0" fillId="0" borderId="0" xfId="0" applyFont="1" applyAlignment="1"/>
    <xf numFmtId="0" fontId="1" fillId="0" borderId="0" xfId="0" applyFont="1" applyFill="1" applyBorder="1" applyAlignment="1">
      <alignment horizontal="left" vertical="center" wrapText="1"/>
    </xf>
    <xf numFmtId="4" fontId="0" fillId="0" borderId="0" xfId="0" applyNumberFormat="1" applyFont="1" applyFill="1" applyAlignment="1">
      <alignment vertical="center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vertical="top"/>
    </xf>
  </cellXfs>
  <cellStyles count="75">
    <cellStyle name="常规" xfId="0" builtinId="0"/>
    <cellStyle name="常规 2 5 2 10 2" xfId="1"/>
    <cellStyle name="常规 2 5 2 2" xfId="2"/>
    <cellStyle name="常规 4" xfId="3"/>
    <cellStyle name="注释 2" xfId="4"/>
    <cellStyle name="千位分隔[0] 2" xfId="5"/>
    <cellStyle name="常规 3 2" xfId="6"/>
    <cellStyle name="常规 2" xfId="7"/>
    <cellStyle name="常规 175" xfId="8"/>
    <cellStyle name="常规 174" xfId="9"/>
    <cellStyle name="常规 5" xfId="10"/>
    <cellStyle name="常规_Sheet1" xfId="11"/>
    <cellStyle name="常规 2 5 2" xfId="12"/>
    <cellStyle name="常规 2 5" xfId="13"/>
    <cellStyle name="Normal" xfId="14"/>
    <cellStyle name="60% - 强调文字颜色 6" xfId="15" builtinId="52"/>
    <cellStyle name="20% - 强调文字颜色 4" xfId="16" builtinId="42"/>
    <cellStyle name="强调文字颜色 4" xfId="17" builtinId="41"/>
    <cellStyle name="输入" xfId="18" builtinId="20"/>
    <cellStyle name="40% - 强调文字颜色 3" xfId="19" builtinId="39"/>
    <cellStyle name="20% - 强调文字颜色 3" xfId="20" builtinId="38"/>
    <cellStyle name="货币" xfId="21" builtinId="4"/>
    <cellStyle name="强调文字颜色 3" xfId="22" builtinId="37"/>
    <cellStyle name="百分比" xfId="23" builtinId="5"/>
    <cellStyle name="60% - 强调文字颜色 2" xfId="24" builtinId="36"/>
    <cellStyle name="常规 2 2 2 2" xfId="25"/>
    <cellStyle name="60% - 强调文字颜色 5" xfId="26" builtinId="48"/>
    <cellStyle name="常规 2 5 2 10 2 2" xfId="27"/>
    <cellStyle name="强调文字颜色 2" xfId="28" builtinId="33"/>
    <cellStyle name="60% - 强调文字颜色 1" xfId="29" builtinId="32"/>
    <cellStyle name="60% - 强调文字颜色 4" xfId="30" builtinId="44"/>
    <cellStyle name="计算" xfId="31" builtinId="22"/>
    <cellStyle name="强调文字颜色 1" xfId="32" builtinId="29"/>
    <cellStyle name="适中" xfId="33" builtinId="28"/>
    <cellStyle name="20% - 强调文字颜色 5" xfId="34" builtinId="46"/>
    <cellStyle name="好" xfId="35" builtinId="26"/>
    <cellStyle name="20% - 强调文字颜色 1" xfId="36" builtinId="30"/>
    <cellStyle name="汇总" xfId="37" builtinId="25"/>
    <cellStyle name="差" xfId="38" builtinId="27"/>
    <cellStyle name="检查单元格" xfId="39" builtinId="23"/>
    <cellStyle name="输出" xfId="40" builtinId="21"/>
    <cellStyle name="千位分隔 2" xfId="41"/>
    <cellStyle name="标题 1" xfId="42" builtinId="16"/>
    <cellStyle name="常规 2 10 10 2" xfId="43"/>
    <cellStyle name="解释性文本" xfId="44" builtinId="53"/>
    <cellStyle name="常规 2 10 2" xfId="45"/>
    <cellStyle name="20% - 强调文字颜色 2" xfId="46" builtinId="34"/>
    <cellStyle name="标题 4" xfId="47" builtinId="19"/>
    <cellStyle name="货币[0]" xfId="48" builtinId="7"/>
    <cellStyle name="常规 2 10 10" xfId="49"/>
    <cellStyle name="40% - 强调文字颜色 4" xfId="50" builtinId="43"/>
    <cellStyle name="千位分隔" xfId="51" builtinId="3"/>
    <cellStyle name="常规 2 10 10 2 2 2" xfId="52"/>
    <cellStyle name="已访问的超链接" xfId="53" builtinId="9"/>
    <cellStyle name="标题" xfId="54" builtinId="15"/>
    <cellStyle name="常规 8" xfId="55"/>
    <cellStyle name="40% - 强调文字颜色 2" xfId="56" builtinId="35"/>
    <cellStyle name="常规 10 2" xfId="57"/>
    <cellStyle name="警告文本" xfId="58" builtinId="11"/>
    <cellStyle name="60% - 强调文字颜色 3" xfId="59" builtinId="40"/>
    <cellStyle name="注释" xfId="60" builtinId="10"/>
    <cellStyle name="20% - 强调文字颜色 6" xfId="61" builtinId="50"/>
    <cellStyle name="强调文字颜色 5" xfId="62" builtinId="45"/>
    <cellStyle name="常规 2 10 2 2 3" xfId="63"/>
    <cellStyle name="40% - 强调文字颜色 6" xfId="64" builtinId="51"/>
    <cellStyle name="超链接" xfId="65" builtinId="8"/>
    <cellStyle name="千位分隔[0]" xfId="66" builtinId="6"/>
    <cellStyle name="标题 2" xfId="67" builtinId="17"/>
    <cellStyle name="40% - 强调文字颜色 5" xfId="68" builtinId="47"/>
    <cellStyle name="标题 3" xfId="69" builtinId="18"/>
    <cellStyle name="强调文字颜色 6" xfId="70" builtinId="49"/>
    <cellStyle name="常规 176" xfId="71"/>
    <cellStyle name="40% - 强调文字颜色 1" xfId="72" builtinId="31"/>
    <cellStyle name="常规 3" xfId="73"/>
    <cellStyle name="链接单元格" xfId="74" builtinId="24"/>
  </cellStyles>
  <tableStyles count="0" defaultTableStyle="TableStyleMedium2"/>
  <colors>
    <mruColors>
      <color rgb="00D1E5BC"/>
      <color rgb="00E7EE10"/>
      <color rgb="00C9E1B6"/>
      <color rgb="00C9EBB6"/>
      <color rgb="0055C173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workbookViewId="0">
      <selection activeCell="O14" sqref="O14"/>
    </sheetView>
  </sheetViews>
  <sheetFormatPr defaultColWidth="9.23076923076923" defaultRowHeight="16.8"/>
  <sheetData>
    <row r="1" ht="25" customHeight="1" spans="1:14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ht="40" customHeight="1" spans="1:14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7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Q7" s="115"/>
    </row>
    <row r="8" spans="1:14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4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4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1:14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4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14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  <row r="35" spans="1:14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</row>
    <row r="36" spans="1:14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</row>
    <row r="37" spans="1:14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</row>
    <row r="38" spans="1:14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</row>
    <row r="39" spans="1:14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</row>
    <row r="40" spans="1:14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</row>
  </sheetData>
  <mergeCells count="2">
    <mergeCell ref="A3:N40"/>
    <mergeCell ref="A1:N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"/>
  <sheetViews>
    <sheetView topLeftCell="N1" workbookViewId="0">
      <selection activeCell="V8" sqref="V8"/>
    </sheetView>
  </sheetViews>
  <sheetFormatPr defaultColWidth="9" defaultRowHeight="16.8"/>
  <cols>
    <col min="1" max="1" width="125.615384615385" customWidth="1"/>
    <col min="2" max="2" width="13.3076923076923" customWidth="1"/>
    <col min="3" max="3" width="26.7692307692308" customWidth="1"/>
    <col min="4" max="4" width="21.3076923076923" customWidth="1"/>
    <col min="5" max="5" width="26.3846153846154" customWidth="1"/>
    <col min="6" max="6" width="149.384615384615" customWidth="1"/>
    <col min="7" max="7" width="9.15384615384615" customWidth="1"/>
    <col min="8" max="8" width="13.6153846153846" customWidth="1"/>
    <col min="9" max="9" width="16.9230769230769" customWidth="1"/>
    <col min="10" max="10" width="11.2307692307692" customWidth="1"/>
    <col min="11" max="11" width="16.6923076923077" customWidth="1"/>
    <col min="12" max="12" width="11.0769230769231" customWidth="1"/>
    <col min="13" max="13" width="12.4615384615385" customWidth="1"/>
    <col min="14" max="14" width="23.5384615384615" customWidth="1"/>
    <col min="15" max="15" width="13.6153846153846" customWidth="1"/>
    <col min="16" max="16" width="17.3076923076923" customWidth="1"/>
    <col min="17" max="17" width="16.3076923076923" customWidth="1"/>
    <col min="18" max="18" width="20" customWidth="1"/>
    <col min="19" max="19" width="16.6923076923077" customWidth="1"/>
    <col min="20" max="20" width="19.8461538461538" customWidth="1"/>
    <col min="21" max="22" width="20.6923076923077" style="2" customWidth="1"/>
    <col min="23" max="23" width="20.6923076923077" customWidth="1"/>
    <col min="24" max="24" width="24.3846153846154" customWidth="1"/>
    <col min="25" max="25" width="25.7692307692308" customWidth="1"/>
    <col min="26" max="26" width="11.3846153846154" customWidth="1"/>
    <col min="27" max="27" width="8.46153846153846" customWidth="1"/>
    <col min="28" max="28" width="22" customWidth="1"/>
    <col min="29" max="30" width="7.84615384615385" customWidth="1"/>
  </cols>
  <sheetData>
    <row r="1" s="18" customFormat="1" spans="1:1">
      <c r="A1" s="18" t="s">
        <v>2</v>
      </c>
    </row>
    <row r="2" s="18" customFormat="1" spans="1:1">
      <c r="A2" s="18" t="s">
        <v>3</v>
      </c>
    </row>
    <row r="3" s="18" customFormat="1" spans="1:1">
      <c r="A3" s="18" t="s">
        <v>4</v>
      </c>
    </row>
    <row r="4" s="18" customFormat="1" spans="1:1">
      <c r="A4" s="18" t="s">
        <v>5</v>
      </c>
    </row>
    <row r="5" s="18" customFormat="1" spans="1:1">
      <c r="A5" s="18" t="s">
        <v>6</v>
      </c>
    </row>
    <row r="6" s="18" customFormat="1" spans="1:1">
      <c r="A6" s="18" t="s">
        <v>7</v>
      </c>
    </row>
    <row r="7" s="18" customFormat="1" spans="1:1">
      <c r="A7" s="18" t="s">
        <v>8</v>
      </c>
    </row>
    <row r="8" s="18" customFormat="1" spans="1:30">
      <c r="A8" s="18" t="s">
        <v>9</v>
      </c>
      <c r="B8" s="18" t="s">
        <v>10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15</v>
      </c>
      <c r="H8" s="18" t="s">
        <v>16</v>
      </c>
      <c r="I8" s="18" t="s">
        <v>17</v>
      </c>
      <c r="J8" s="18" t="s">
        <v>18</v>
      </c>
      <c r="K8" s="18" t="s">
        <v>19</v>
      </c>
      <c r="L8" s="18" t="s">
        <v>20</v>
      </c>
      <c r="M8" s="18" t="s">
        <v>21</v>
      </c>
      <c r="N8" s="18" t="s">
        <v>22</v>
      </c>
      <c r="O8" s="18" t="s">
        <v>23</v>
      </c>
      <c r="P8" s="18" t="s">
        <v>24</v>
      </c>
      <c r="Q8" s="18" t="s">
        <v>25</v>
      </c>
      <c r="R8" s="18" t="s">
        <v>26</v>
      </c>
      <c r="S8" s="18" t="s">
        <v>27</v>
      </c>
      <c r="T8" s="18" t="s">
        <v>28</v>
      </c>
      <c r="U8" s="18" t="s">
        <v>29</v>
      </c>
      <c r="V8" s="18" t="s">
        <v>30</v>
      </c>
      <c r="W8" s="18" t="s">
        <v>31</v>
      </c>
      <c r="X8" s="18" t="s">
        <v>32</v>
      </c>
      <c r="Y8" s="18" t="s">
        <v>33</v>
      </c>
      <c r="Z8" s="18" t="s">
        <v>34</v>
      </c>
      <c r="AA8" s="18" t="s">
        <v>35</v>
      </c>
      <c r="AB8" s="18" t="s">
        <v>36</v>
      </c>
      <c r="AC8" s="18" t="s">
        <v>37</v>
      </c>
      <c r="AD8" s="18" t="s">
        <v>38</v>
      </c>
    </row>
    <row r="9" s="18" customFormat="1" spans="1:30">
      <c r="A9" s="18" t="s">
        <v>39</v>
      </c>
      <c r="B9" s="18">
        <v>15273680861</v>
      </c>
      <c r="C9" s="18" t="s">
        <v>40</v>
      </c>
      <c r="D9" s="18" t="s">
        <v>41</v>
      </c>
      <c r="E9" s="18" t="s">
        <v>42</v>
      </c>
      <c r="F9" s="18" t="s">
        <v>43</v>
      </c>
      <c r="G9" s="18">
        <v>1</v>
      </c>
      <c r="H9" s="18" t="s">
        <v>44</v>
      </c>
      <c r="I9" s="18" t="s">
        <v>45</v>
      </c>
      <c r="J9" s="18" t="s">
        <v>46</v>
      </c>
      <c r="K9" s="18" t="s">
        <v>47</v>
      </c>
      <c r="L9" s="18" t="s">
        <v>48</v>
      </c>
      <c r="M9" s="18" t="s">
        <v>49</v>
      </c>
      <c r="N9" s="18" t="s">
        <v>50</v>
      </c>
      <c r="O9" s="18">
        <v>-23.99</v>
      </c>
      <c r="P9" s="18">
        <v>-1.74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1.74</v>
      </c>
      <c r="Z9" s="18">
        <v>3.26</v>
      </c>
      <c r="AA9" s="18">
        <v>0</v>
      </c>
      <c r="AB9" s="18">
        <v>0</v>
      </c>
      <c r="AC9" s="18">
        <v>0</v>
      </c>
      <c r="AD9" s="18">
        <v>-20.73</v>
      </c>
    </row>
    <row r="10" s="17" customFormat="1" spans="1:30">
      <c r="A10" s="17" t="s">
        <v>51</v>
      </c>
      <c r="B10" s="17">
        <v>15273680861</v>
      </c>
      <c r="C10" s="17" t="s">
        <v>52</v>
      </c>
      <c r="D10" s="17" t="s">
        <v>53</v>
      </c>
      <c r="E10" s="17" t="s">
        <v>54</v>
      </c>
      <c r="F10" s="17" t="s">
        <v>55</v>
      </c>
      <c r="G10" s="17">
        <v>1</v>
      </c>
      <c r="H10" s="17" t="s">
        <v>44</v>
      </c>
      <c r="I10" s="17" t="s">
        <v>45</v>
      </c>
      <c r="J10" s="17" t="s">
        <v>46</v>
      </c>
      <c r="K10" s="17" t="s">
        <v>56</v>
      </c>
      <c r="L10" s="17" t="s">
        <v>57</v>
      </c>
      <c r="M10" s="17" t="s">
        <v>58</v>
      </c>
      <c r="N10" s="17" t="s">
        <v>50</v>
      </c>
      <c r="O10" s="17">
        <v>12.89</v>
      </c>
      <c r="P10" s="17">
        <v>1.22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  <c r="V10" s="18">
        <v>0</v>
      </c>
      <c r="W10" s="17">
        <v>0</v>
      </c>
      <c r="X10" s="17">
        <v>0</v>
      </c>
      <c r="Y10" s="17">
        <v>-1.22</v>
      </c>
      <c r="Z10" s="17">
        <v>-2.19</v>
      </c>
      <c r="AA10" s="17">
        <v>-3.87</v>
      </c>
      <c r="AB10" s="17">
        <v>0</v>
      </c>
      <c r="AC10" s="17">
        <v>0</v>
      </c>
      <c r="AD10" s="17">
        <v>6.83</v>
      </c>
    </row>
    <row r="11" s="17" customFormat="1" spans="1:30">
      <c r="A11" s="17" t="s">
        <v>51</v>
      </c>
      <c r="B11" s="17">
        <v>15273680861</v>
      </c>
      <c r="C11" s="17" t="s">
        <v>52</v>
      </c>
      <c r="D11" s="17" t="s">
        <v>53</v>
      </c>
      <c r="E11" s="17" t="s">
        <v>59</v>
      </c>
      <c r="F11" s="17" t="s">
        <v>60</v>
      </c>
      <c r="G11" s="17">
        <v>1</v>
      </c>
      <c r="H11" s="17" t="s">
        <v>44</v>
      </c>
      <c r="I11" s="17" t="s">
        <v>45</v>
      </c>
      <c r="J11" s="17" t="s">
        <v>46</v>
      </c>
      <c r="K11" s="17" t="s">
        <v>56</v>
      </c>
      <c r="L11" s="17" t="s">
        <v>57</v>
      </c>
      <c r="M11" s="17" t="s">
        <v>58</v>
      </c>
      <c r="N11" s="17" t="s">
        <v>50</v>
      </c>
      <c r="O11" s="17">
        <v>12.89</v>
      </c>
      <c r="P11" s="17">
        <v>1.22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  <c r="V11" s="18">
        <v>0</v>
      </c>
      <c r="W11" s="17">
        <v>0</v>
      </c>
      <c r="X11" s="17">
        <v>0</v>
      </c>
      <c r="Y11" s="17">
        <v>-1.22</v>
      </c>
      <c r="Z11" s="17">
        <v>-2.19</v>
      </c>
      <c r="AA11" s="17">
        <v>-3.87</v>
      </c>
      <c r="AB11" s="17">
        <v>0</v>
      </c>
      <c r="AC11" s="17">
        <v>0</v>
      </c>
      <c r="AD11" s="17">
        <v>6.83</v>
      </c>
    </row>
    <row r="12" s="18" customFormat="1" spans="1:30">
      <c r="A12" s="18" t="s">
        <v>61</v>
      </c>
      <c r="B12" s="18">
        <v>15273680861</v>
      </c>
      <c r="C12" s="18" t="s">
        <v>62</v>
      </c>
      <c r="E12" s="18" t="s">
        <v>63</v>
      </c>
      <c r="F12" s="18" t="s">
        <v>64</v>
      </c>
      <c r="G12" s="18">
        <v>1</v>
      </c>
      <c r="I12" s="18" t="s">
        <v>45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5.87</v>
      </c>
      <c r="AD12" s="18">
        <v>5.87</v>
      </c>
    </row>
    <row r="13" s="18" customFormat="1" spans="1:30">
      <c r="A13" s="18" t="s">
        <v>65</v>
      </c>
      <c r="B13" s="18">
        <v>15273680861</v>
      </c>
      <c r="C13" s="18" t="s">
        <v>62</v>
      </c>
      <c r="D13" s="18" t="s">
        <v>66</v>
      </c>
      <c r="E13" s="18" t="s">
        <v>67</v>
      </c>
      <c r="F13" s="18" t="s">
        <v>68</v>
      </c>
      <c r="G13" s="18">
        <v>1</v>
      </c>
      <c r="I13" s="18" t="s">
        <v>45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10.23</v>
      </c>
      <c r="AD13" s="18">
        <v>10.23</v>
      </c>
    </row>
    <row r="14" s="18" customFormat="1" spans="1:30">
      <c r="A14" s="18" t="s">
        <v>69</v>
      </c>
      <c r="B14" s="18">
        <v>15273680861</v>
      </c>
      <c r="C14" s="18" t="s">
        <v>62</v>
      </c>
      <c r="E14" s="18" t="s">
        <v>70</v>
      </c>
      <c r="F14" s="18" t="s">
        <v>64</v>
      </c>
      <c r="G14" s="18">
        <v>1</v>
      </c>
      <c r="I14" s="18" t="s">
        <v>45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5.87</v>
      </c>
      <c r="AD14" s="18">
        <v>5.87</v>
      </c>
    </row>
    <row r="15" s="18" customFormat="1" spans="1:30">
      <c r="A15" s="18" t="s">
        <v>71</v>
      </c>
      <c r="B15" s="18">
        <v>15273680861</v>
      </c>
      <c r="C15" s="18" t="s">
        <v>62</v>
      </c>
      <c r="D15" s="18" t="s">
        <v>72</v>
      </c>
      <c r="E15" s="18" t="s">
        <v>63</v>
      </c>
      <c r="F15" s="18" t="s">
        <v>68</v>
      </c>
      <c r="G15" s="18">
        <v>1</v>
      </c>
      <c r="I15" s="18" t="s">
        <v>45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6.7</v>
      </c>
      <c r="AD15" s="18">
        <v>6.7</v>
      </c>
    </row>
    <row r="16" s="18" customFormat="1" spans="1:30">
      <c r="A16" s="18" t="s">
        <v>73</v>
      </c>
      <c r="B16" s="18">
        <v>15273680861</v>
      </c>
      <c r="C16" s="18" t="s">
        <v>62</v>
      </c>
      <c r="D16" s="18" t="s">
        <v>74</v>
      </c>
      <c r="E16" s="18" t="s">
        <v>75</v>
      </c>
      <c r="F16" s="18" t="s">
        <v>68</v>
      </c>
      <c r="G16" s="18">
        <v>1</v>
      </c>
      <c r="I16" s="18" t="s">
        <v>45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10.89</v>
      </c>
      <c r="AD16" s="18">
        <v>10.89</v>
      </c>
    </row>
    <row r="17" s="18" customFormat="1" spans="1:30">
      <c r="A17" s="18" t="s">
        <v>76</v>
      </c>
      <c r="B17" s="18">
        <v>15273680861</v>
      </c>
      <c r="C17" s="18" t="s">
        <v>77</v>
      </c>
      <c r="D17" s="18" t="s">
        <v>78</v>
      </c>
      <c r="E17" s="18" t="s">
        <v>79</v>
      </c>
      <c r="F17" s="18" t="s">
        <v>80</v>
      </c>
      <c r="H17" s="18" t="s">
        <v>81</v>
      </c>
      <c r="I17" s="18" t="s">
        <v>45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-2.76</v>
      </c>
      <c r="AB17" s="18">
        <v>0</v>
      </c>
      <c r="AC17" s="18">
        <v>0</v>
      </c>
      <c r="AD17" s="18">
        <v>-2.76</v>
      </c>
    </row>
    <row r="18" s="18" customFormat="1" spans="1:30">
      <c r="A18" s="18" t="s">
        <v>82</v>
      </c>
      <c r="B18" s="18">
        <v>15273680861</v>
      </c>
      <c r="C18" s="18" t="s">
        <v>62</v>
      </c>
      <c r="E18" s="18" t="s">
        <v>83</v>
      </c>
      <c r="F18" s="18" t="s">
        <v>84</v>
      </c>
      <c r="G18" s="18">
        <v>1</v>
      </c>
      <c r="I18" s="18" t="s">
        <v>45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-6.12</v>
      </c>
      <c r="AD18" s="18">
        <v>-6.12</v>
      </c>
    </row>
    <row r="19" s="18" customFormat="1" spans="1:30">
      <c r="A19" s="18" t="s">
        <v>85</v>
      </c>
      <c r="B19" s="18">
        <v>15273680861</v>
      </c>
      <c r="C19" s="18" t="s">
        <v>40</v>
      </c>
      <c r="D19" s="18" t="s">
        <v>86</v>
      </c>
      <c r="E19" s="18" t="s">
        <v>87</v>
      </c>
      <c r="F19" s="18" t="s">
        <v>88</v>
      </c>
      <c r="G19" s="18">
        <v>1</v>
      </c>
      <c r="H19" s="18" t="s">
        <v>44</v>
      </c>
      <c r="I19" s="18" t="s">
        <v>45</v>
      </c>
      <c r="J19" s="18" t="s">
        <v>46</v>
      </c>
      <c r="K19" s="18" t="s">
        <v>89</v>
      </c>
      <c r="L19" s="18" t="s">
        <v>90</v>
      </c>
      <c r="M19" s="18" t="s">
        <v>91</v>
      </c>
      <c r="N19" s="18" t="s">
        <v>50</v>
      </c>
      <c r="O19" s="18">
        <v>-17.99</v>
      </c>
      <c r="P19" s="18">
        <v>-0.99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0.99</v>
      </c>
      <c r="Z19" s="18">
        <v>2.45</v>
      </c>
      <c r="AA19" s="18">
        <v>0</v>
      </c>
      <c r="AB19" s="18">
        <v>0</v>
      </c>
      <c r="AC19" s="18">
        <v>0</v>
      </c>
      <c r="AD19" s="18">
        <v>-15.54</v>
      </c>
    </row>
    <row r="20" s="18" customFormat="1" spans="1:30">
      <c r="A20" s="18" t="s">
        <v>92</v>
      </c>
      <c r="B20" s="18">
        <v>15273680861</v>
      </c>
      <c r="C20" s="18" t="s">
        <v>93</v>
      </c>
      <c r="D20" s="18" t="s">
        <v>94</v>
      </c>
      <c r="F20" s="18" t="s">
        <v>95</v>
      </c>
      <c r="H20" s="18" t="s">
        <v>81</v>
      </c>
      <c r="I20" s="18" t="s">
        <v>45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1.51</v>
      </c>
    </row>
    <row r="21" s="18" customFormat="1" spans="1:30">
      <c r="A21" s="18" t="s">
        <v>96</v>
      </c>
      <c r="B21" s="18">
        <v>15273680861</v>
      </c>
      <c r="C21" s="18" t="s">
        <v>97</v>
      </c>
      <c r="D21" s="18" t="s">
        <v>98</v>
      </c>
      <c r="F21" s="18" t="s">
        <v>95</v>
      </c>
      <c r="H21" s="18" t="s">
        <v>81</v>
      </c>
      <c r="I21" s="18" t="s">
        <v>45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-5.77</v>
      </c>
    </row>
    <row r="22" s="18" customFormat="1" spans="1:30">
      <c r="A22" s="18" t="s">
        <v>99</v>
      </c>
      <c r="B22" s="18">
        <v>15273680861</v>
      </c>
      <c r="C22" s="18" t="s">
        <v>100</v>
      </c>
      <c r="F22" s="18" t="s">
        <v>101</v>
      </c>
      <c r="I22" s="18" t="s">
        <v>45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-20</v>
      </c>
      <c r="AC22" s="18">
        <v>0</v>
      </c>
      <c r="AD22" s="18">
        <v>-20</v>
      </c>
    </row>
    <row r="23" s="18" customFormat="1" spans="1:30">
      <c r="A23" s="18" t="s">
        <v>102</v>
      </c>
      <c r="B23" s="18">
        <v>15273680861</v>
      </c>
      <c r="C23" s="18" t="s">
        <v>100</v>
      </c>
      <c r="F23" s="18" t="s">
        <v>103</v>
      </c>
      <c r="H23" s="18" t="s">
        <v>81</v>
      </c>
      <c r="I23" s="18" t="s">
        <v>45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-0.3</v>
      </c>
      <c r="AD23" s="18">
        <v>-0.3</v>
      </c>
    </row>
    <row r="24" s="17" customFormat="1" spans="1:30">
      <c r="A24" s="17" t="s">
        <v>104</v>
      </c>
      <c r="B24" s="17">
        <v>15273680861</v>
      </c>
      <c r="C24" s="17" t="s">
        <v>105</v>
      </c>
      <c r="F24" s="17" t="s">
        <v>106</v>
      </c>
      <c r="H24" s="17" t="s">
        <v>81</v>
      </c>
      <c r="I24" s="17" t="s">
        <v>45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8">
        <v>0</v>
      </c>
      <c r="V24" s="18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11">
        <v>-100</v>
      </c>
      <c r="AD24" s="111">
        <v>-100</v>
      </c>
    </row>
    <row r="25" s="17" customFormat="1" spans="1:30">
      <c r="A25" s="17" t="s">
        <v>107</v>
      </c>
      <c r="B25" s="17">
        <v>15273680861</v>
      </c>
      <c r="C25" s="17" t="s">
        <v>105</v>
      </c>
      <c r="D25" s="17" t="s">
        <v>108</v>
      </c>
      <c r="F25" s="17" t="s">
        <v>109</v>
      </c>
      <c r="H25" s="17" t="s">
        <v>81</v>
      </c>
      <c r="I25" s="17" t="s">
        <v>45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8">
        <v>0</v>
      </c>
      <c r="V25" s="18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-0.32</v>
      </c>
      <c r="AD25" s="17">
        <v>-0.32</v>
      </c>
    </row>
    <row r="26" s="17" customFormat="1" spans="1:30">
      <c r="A26" s="17" t="s">
        <v>110</v>
      </c>
      <c r="B26" s="17">
        <v>15343324181</v>
      </c>
      <c r="C26" s="17" t="s">
        <v>111</v>
      </c>
      <c r="F26" s="17" t="s">
        <v>112</v>
      </c>
      <c r="I26" s="17" t="s">
        <v>45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  <c r="V26" s="18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11">
        <v>-100</v>
      </c>
      <c r="AD26" s="111">
        <v>-100</v>
      </c>
    </row>
    <row r="27" s="17" customFormat="1" spans="1:30">
      <c r="A27" s="17" t="s">
        <v>113</v>
      </c>
      <c r="B27" s="17">
        <v>15343324181</v>
      </c>
      <c r="C27" s="17" t="s">
        <v>105</v>
      </c>
      <c r="F27" s="17" t="s">
        <v>114</v>
      </c>
      <c r="H27" s="17" t="s">
        <v>81</v>
      </c>
      <c r="I27" s="17" t="s">
        <v>45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  <c r="V27" s="18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-33.06</v>
      </c>
      <c r="AD27" s="17">
        <v>-33.06</v>
      </c>
    </row>
    <row r="28" s="18" customFormat="1" spans="1:30">
      <c r="A28" s="17" t="s">
        <v>113</v>
      </c>
      <c r="B28" s="18">
        <v>12293881141</v>
      </c>
      <c r="C28" s="18" t="s">
        <v>52</v>
      </c>
      <c r="D28" s="18" t="s">
        <v>115</v>
      </c>
      <c r="E28" s="18" t="s">
        <v>116</v>
      </c>
      <c r="F28" s="18" t="s">
        <v>117</v>
      </c>
      <c r="G28" s="18">
        <v>1</v>
      </c>
      <c r="H28" s="18" t="s">
        <v>44</v>
      </c>
      <c r="J28" s="18" t="s">
        <v>118</v>
      </c>
      <c r="K28" s="18" t="s">
        <v>119</v>
      </c>
      <c r="L28" s="18" t="s">
        <v>120</v>
      </c>
      <c r="M28" s="18" t="s">
        <v>121</v>
      </c>
      <c r="N28" s="18" t="s">
        <v>50</v>
      </c>
      <c r="O28" s="18">
        <v>15.99</v>
      </c>
      <c r="P28" s="18">
        <v>1.32</v>
      </c>
      <c r="Q28" s="18">
        <v>2.81</v>
      </c>
      <c r="R28" s="18">
        <v>0.23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-1.55</v>
      </c>
      <c r="Z28" s="18">
        <v>-3.2</v>
      </c>
      <c r="AA28" s="18">
        <v>0</v>
      </c>
      <c r="AB28" s="18">
        <v>0</v>
      </c>
      <c r="AC28" s="18">
        <v>0</v>
      </c>
      <c r="AD28" s="18">
        <v>15.6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"/>
  <sheetViews>
    <sheetView topLeftCell="B1" workbookViewId="0">
      <selection activeCell="K14" sqref="K14"/>
    </sheetView>
  </sheetViews>
  <sheetFormatPr defaultColWidth="9" defaultRowHeight="16.8"/>
  <cols>
    <col min="3" max="3" width="14" customWidth="1"/>
  </cols>
  <sheetData>
    <row r="1" s="18" customFormat="1" spans="1:1">
      <c r="A1" s="18" t="s">
        <v>2</v>
      </c>
    </row>
    <row r="2" s="18" customFormat="1" spans="1:1">
      <c r="A2" s="18" t="s">
        <v>122</v>
      </c>
    </row>
    <row r="3" s="18" customFormat="1" spans="1:1">
      <c r="A3" s="18" t="s">
        <v>4</v>
      </c>
    </row>
    <row r="4" s="18" customFormat="1" spans="1:1">
      <c r="A4" s="18" t="s">
        <v>5</v>
      </c>
    </row>
    <row r="5" s="18" customFormat="1" spans="1:1">
      <c r="A5" s="18" t="s">
        <v>6</v>
      </c>
    </row>
    <row r="6" s="18" customFormat="1" spans="1:1">
      <c r="A6" s="18" t="s">
        <v>123</v>
      </c>
    </row>
    <row r="7" s="18" customFormat="1" spans="1:1">
      <c r="A7" s="18" t="s">
        <v>8</v>
      </c>
    </row>
    <row r="8" s="18" customFormat="1" spans="1:29">
      <c r="A8" s="18" t="s">
        <v>9</v>
      </c>
      <c r="B8" s="18" t="s">
        <v>10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15</v>
      </c>
      <c r="H8" s="18" t="s">
        <v>16</v>
      </c>
      <c r="I8" s="18" t="s">
        <v>18</v>
      </c>
      <c r="J8" s="18" t="s">
        <v>19</v>
      </c>
      <c r="K8" s="18" t="s">
        <v>20</v>
      </c>
      <c r="L8" s="18" t="s">
        <v>21</v>
      </c>
      <c r="M8" s="18" t="s">
        <v>22</v>
      </c>
      <c r="N8" s="18" t="s">
        <v>23</v>
      </c>
      <c r="O8" s="18" t="s">
        <v>24</v>
      </c>
      <c r="P8" s="18" t="s">
        <v>25</v>
      </c>
      <c r="Q8" s="18" t="s">
        <v>26</v>
      </c>
      <c r="R8" s="18" t="s">
        <v>27</v>
      </c>
      <c r="S8" s="18" t="s">
        <v>28</v>
      </c>
      <c r="T8" s="18" t="s">
        <v>29</v>
      </c>
      <c r="U8" s="18" t="s">
        <v>30</v>
      </c>
      <c r="V8" s="18" t="s">
        <v>31</v>
      </c>
      <c r="W8" s="18" t="s">
        <v>32</v>
      </c>
      <c r="X8" s="18" t="s">
        <v>33</v>
      </c>
      <c r="Y8" s="18" t="s">
        <v>34</v>
      </c>
      <c r="Z8" s="18" t="s">
        <v>35</v>
      </c>
      <c r="AA8" s="18" t="s">
        <v>36</v>
      </c>
      <c r="AB8" s="18" t="s">
        <v>37</v>
      </c>
      <c r="AC8" s="18" t="s">
        <v>38</v>
      </c>
    </row>
    <row r="9" s="18" customFormat="1" spans="1:29">
      <c r="A9" s="18" t="s">
        <v>124</v>
      </c>
      <c r="B9" s="18">
        <v>15283495341</v>
      </c>
      <c r="C9" s="18" t="s">
        <v>52</v>
      </c>
      <c r="D9" s="18" t="s">
        <v>125</v>
      </c>
      <c r="E9" s="18" t="s">
        <v>126</v>
      </c>
      <c r="F9" s="18" t="s">
        <v>127</v>
      </c>
      <c r="G9" s="18">
        <v>1</v>
      </c>
      <c r="H9" s="18" t="s">
        <v>128</v>
      </c>
      <c r="I9" s="18" t="s">
        <v>46</v>
      </c>
      <c r="J9" s="18" t="s">
        <v>129</v>
      </c>
      <c r="K9" s="18" t="s">
        <v>130</v>
      </c>
      <c r="L9" s="18" t="s">
        <v>131</v>
      </c>
      <c r="M9" s="18" t="s">
        <v>50</v>
      </c>
      <c r="N9" s="18">
        <v>26.99</v>
      </c>
      <c r="O9" s="18">
        <v>1.35</v>
      </c>
      <c r="P9" s="18">
        <v>3.92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-3.92</v>
      </c>
      <c r="W9" s="18">
        <v>0</v>
      </c>
      <c r="X9" s="18">
        <v>-1.35</v>
      </c>
      <c r="Y9" s="18">
        <v>-4.05</v>
      </c>
      <c r="Z9" s="18">
        <v>-5.68</v>
      </c>
      <c r="AA9" s="18">
        <v>0</v>
      </c>
      <c r="AB9" s="18">
        <v>0</v>
      </c>
      <c r="AC9" s="18">
        <v>17.26</v>
      </c>
    </row>
    <row r="10" s="18" customFormat="1" spans="1:29">
      <c r="A10" s="18" t="s">
        <v>132</v>
      </c>
      <c r="B10" s="18">
        <v>15283495341</v>
      </c>
      <c r="C10" s="18" t="s">
        <v>62</v>
      </c>
      <c r="D10" s="18" t="s">
        <v>133</v>
      </c>
      <c r="E10" s="18" t="s">
        <v>134</v>
      </c>
      <c r="F10" s="18" t="s">
        <v>68</v>
      </c>
      <c r="G10" s="18">
        <v>1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14.89</v>
      </c>
      <c r="AC10" s="18">
        <v>14.89</v>
      </c>
    </row>
    <row r="11" s="18" customFormat="1" spans="1:29">
      <c r="A11" s="18" t="s">
        <v>135</v>
      </c>
      <c r="B11" s="18">
        <v>15283495341</v>
      </c>
      <c r="C11" s="18" t="s">
        <v>105</v>
      </c>
      <c r="D11" s="18" t="s">
        <v>136</v>
      </c>
      <c r="F11" s="18" t="s">
        <v>109</v>
      </c>
      <c r="H11" s="18" t="s">
        <v>137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-0.3</v>
      </c>
      <c r="AC11" s="18">
        <v>-0.3</v>
      </c>
    </row>
    <row r="12" s="18" customFormat="1" spans="1:29">
      <c r="A12" s="18" t="s">
        <v>138</v>
      </c>
      <c r="B12" s="18">
        <v>15283495341</v>
      </c>
      <c r="C12" s="18" t="s">
        <v>100</v>
      </c>
      <c r="F12" s="18" t="s">
        <v>101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-21</v>
      </c>
      <c r="AB12" s="18">
        <v>0</v>
      </c>
      <c r="AC12" s="18">
        <v>-21</v>
      </c>
    </row>
    <row r="13" s="17" customFormat="1" spans="1:29">
      <c r="A13" s="17" t="s">
        <v>139</v>
      </c>
      <c r="B13" s="17">
        <v>15352100131</v>
      </c>
      <c r="C13" s="17" t="s">
        <v>111</v>
      </c>
      <c r="F13" s="17" t="s">
        <v>140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11">
        <v>-101</v>
      </c>
      <c r="AC13" s="111">
        <v>-101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9"/>
  <sheetViews>
    <sheetView workbookViewId="0">
      <selection activeCell="I29" sqref="I29"/>
    </sheetView>
  </sheetViews>
  <sheetFormatPr defaultColWidth="9" defaultRowHeight="16.8"/>
  <cols>
    <col min="27" max="27" width="11.5" customWidth="1"/>
    <col min="28" max="28" width="10.375"/>
  </cols>
  <sheetData>
    <row r="1" s="17" customFormat="1" spans="1:1">
      <c r="A1" s="17" t="s">
        <v>141</v>
      </c>
    </row>
    <row r="2" s="17" customFormat="1" spans="1:1">
      <c r="A2" s="17" t="s">
        <v>142</v>
      </c>
    </row>
    <row r="3" s="17" customFormat="1" spans="1:1">
      <c r="A3" s="17" t="s">
        <v>143</v>
      </c>
    </row>
    <row r="4" s="17" customFormat="1" spans="1:1">
      <c r="A4" s="17" t="s">
        <v>144</v>
      </c>
    </row>
    <row r="5" s="17" customFormat="1" spans="1:1">
      <c r="A5" s="17" t="s">
        <v>145</v>
      </c>
    </row>
    <row r="6" s="17" customFormat="1" spans="1:1">
      <c r="A6" s="17" t="s">
        <v>146</v>
      </c>
    </row>
    <row r="7" s="17" customFormat="1" spans="1:1">
      <c r="A7" s="17" t="s">
        <v>147</v>
      </c>
    </row>
    <row r="8" s="17" customFormat="1" spans="1:28">
      <c r="A8" s="17" t="s">
        <v>148</v>
      </c>
      <c r="B8" s="17" t="s">
        <v>149</v>
      </c>
      <c r="C8" s="17" t="s">
        <v>150</v>
      </c>
      <c r="D8" s="17" t="s">
        <v>151</v>
      </c>
      <c r="E8" s="17" t="s">
        <v>152</v>
      </c>
      <c r="F8" s="17" t="s">
        <v>153</v>
      </c>
      <c r="G8" s="17" t="s">
        <v>154</v>
      </c>
      <c r="H8" s="17" t="s">
        <v>155</v>
      </c>
      <c r="I8" s="17" t="s">
        <v>156</v>
      </c>
      <c r="J8" s="17" t="s">
        <v>157</v>
      </c>
      <c r="K8" s="17" t="s">
        <v>158</v>
      </c>
      <c r="L8" s="17" t="s">
        <v>159</v>
      </c>
      <c r="M8" s="17" t="s">
        <v>160</v>
      </c>
      <c r="N8" s="17" t="s">
        <v>161</v>
      </c>
      <c r="O8" s="17" t="s">
        <v>162</v>
      </c>
      <c r="P8" s="17" t="s">
        <v>163</v>
      </c>
      <c r="Q8" s="17" t="s">
        <v>164</v>
      </c>
      <c r="R8" s="17" t="s">
        <v>165</v>
      </c>
      <c r="S8" s="17" t="s">
        <v>166</v>
      </c>
      <c r="T8" s="17" t="s">
        <v>167</v>
      </c>
      <c r="U8" s="17" t="s">
        <v>168</v>
      </c>
      <c r="V8" s="17" t="s">
        <v>169</v>
      </c>
      <c r="W8" s="17" t="s">
        <v>170</v>
      </c>
      <c r="X8" s="17" t="s">
        <v>171</v>
      </c>
      <c r="Y8" s="17" t="s">
        <v>172</v>
      </c>
      <c r="Z8" s="17" t="s">
        <v>173</v>
      </c>
      <c r="AA8" s="17" t="s">
        <v>174</v>
      </c>
      <c r="AB8" s="17" t="s">
        <v>175</v>
      </c>
    </row>
    <row r="9" s="17" customFormat="1" spans="1:28">
      <c r="A9" s="17" t="s">
        <v>176</v>
      </c>
      <c r="B9" s="17">
        <v>11042433273</v>
      </c>
      <c r="C9" s="17" t="s">
        <v>177</v>
      </c>
      <c r="F9" s="17" t="s">
        <v>178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-551</v>
      </c>
      <c r="AA9" s="17">
        <v>0</v>
      </c>
      <c r="AB9" s="17">
        <v>-551</v>
      </c>
    </row>
    <row r="10" s="17" customFormat="1" spans="1:28">
      <c r="A10" s="17" t="s">
        <v>179</v>
      </c>
      <c r="B10" s="17">
        <v>11042433273</v>
      </c>
      <c r="C10" s="17" t="s">
        <v>180</v>
      </c>
      <c r="D10" s="17" t="s">
        <v>181</v>
      </c>
      <c r="E10" s="17" t="s">
        <v>182</v>
      </c>
      <c r="F10" s="17" t="s">
        <v>183</v>
      </c>
      <c r="G10" s="17">
        <v>1</v>
      </c>
      <c r="H10" s="17" t="s">
        <v>184</v>
      </c>
      <c r="I10" s="17" t="s">
        <v>185</v>
      </c>
      <c r="K10" s="17" t="s">
        <v>186</v>
      </c>
      <c r="L10" s="17" t="s">
        <v>187</v>
      </c>
      <c r="N10" s="17">
        <v>999</v>
      </c>
      <c r="O10" s="17">
        <v>100</v>
      </c>
      <c r="P10" s="17">
        <v>420</v>
      </c>
      <c r="Q10" s="17">
        <v>42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-234</v>
      </c>
      <c r="Y10" s="17">
        <v>0</v>
      </c>
      <c r="Z10" s="17">
        <v>0</v>
      </c>
      <c r="AA10" s="17">
        <v>0</v>
      </c>
      <c r="AB10" s="111">
        <v>1327</v>
      </c>
    </row>
    <row r="11" s="17" customFormat="1" spans="1:28">
      <c r="A11" s="17" t="s">
        <v>188</v>
      </c>
      <c r="B11" s="17">
        <v>11042433273</v>
      </c>
      <c r="C11" s="17" t="s">
        <v>180</v>
      </c>
      <c r="D11" s="17" t="s">
        <v>189</v>
      </c>
      <c r="E11" s="17" t="s">
        <v>190</v>
      </c>
      <c r="F11" s="17" t="s">
        <v>191</v>
      </c>
      <c r="G11" s="17">
        <v>1</v>
      </c>
      <c r="H11" s="17" t="s">
        <v>184</v>
      </c>
      <c r="I11" s="17" t="s">
        <v>46</v>
      </c>
      <c r="K11" s="17" t="s">
        <v>192</v>
      </c>
      <c r="L11" s="17" t="s">
        <v>193</v>
      </c>
      <c r="N11" s="111">
        <v>2999</v>
      </c>
      <c r="O11" s="17">
        <v>300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-474</v>
      </c>
      <c r="Y11" s="17">
        <v>-434</v>
      </c>
      <c r="Z11" s="17">
        <v>0</v>
      </c>
      <c r="AA11" s="17">
        <v>0</v>
      </c>
      <c r="AB11" s="111">
        <v>2391</v>
      </c>
    </row>
    <row r="12" s="17" customFormat="1" spans="1:28">
      <c r="A12" s="17" t="s">
        <v>194</v>
      </c>
      <c r="B12" s="17">
        <v>11042433273</v>
      </c>
      <c r="C12" s="17" t="s">
        <v>180</v>
      </c>
      <c r="D12" s="17" t="s">
        <v>195</v>
      </c>
      <c r="E12" s="17" t="s">
        <v>196</v>
      </c>
      <c r="F12" s="17" t="s">
        <v>191</v>
      </c>
      <c r="G12" s="17">
        <v>1</v>
      </c>
      <c r="H12" s="17" t="s">
        <v>184</v>
      </c>
      <c r="I12" s="17" t="s">
        <v>46</v>
      </c>
      <c r="K12" s="17" t="s">
        <v>197</v>
      </c>
      <c r="L12" s="17" t="s">
        <v>198</v>
      </c>
      <c r="N12" s="111">
        <v>2999</v>
      </c>
      <c r="O12" s="17">
        <v>300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-474</v>
      </c>
      <c r="Y12" s="17">
        <v>-434</v>
      </c>
      <c r="Z12" s="17">
        <v>0</v>
      </c>
      <c r="AA12" s="17">
        <v>0</v>
      </c>
      <c r="AB12" s="111">
        <v>2391</v>
      </c>
    </row>
    <row r="13" s="17" customFormat="1" spans="1:28">
      <c r="A13" s="17" t="s">
        <v>199</v>
      </c>
      <c r="B13" s="17">
        <v>11042433273</v>
      </c>
      <c r="C13" s="17" t="s">
        <v>180</v>
      </c>
      <c r="D13" s="17" t="s">
        <v>200</v>
      </c>
      <c r="E13" s="17" t="s">
        <v>201</v>
      </c>
      <c r="F13" s="17" t="s">
        <v>202</v>
      </c>
      <c r="G13" s="17">
        <v>1</v>
      </c>
      <c r="H13" s="17" t="s">
        <v>184</v>
      </c>
      <c r="I13" s="17" t="s">
        <v>46</v>
      </c>
      <c r="K13" s="17" t="s">
        <v>203</v>
      </c>
      <c r="L13" s="17" t="s">
        <v>204</v>
      </c>
      <c r="N13" s="111">
        <v>1717</v>
      </c>
      <c r="O13" s="17">
        <v>172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-283</v>
      </c>
      <c r="Y13" s="17">
        <v>-381</v>
      </c>
      <c r="Z13" s="17">
        <v>0</v>
      </c>
      <c r="AA13" s="17">
        <v>0</v>
      </c>
      <c r="AB13" s="111">
        <v>1225</v>
      </c>
    </row>
    <row r="14" s="17" customFormat="1" spans="1:28">
      <c r="A14" s="17" t="s">
        <v>205</v>
      </c>
      <c r="B14" s="17">
        <v>11042433273</v>
      </c>
      <c r="C14" s="17" t="s">
        <v>180</v>
      </c>
      <c r="D14" s="17" t="s">
        <v>206</v>
      </c>
      <c r="E14" s="17" t="s">
        <v>207</v>
      </c>
      <c r="F14" s="17" t="s">
        <v>208</v>
      </c>
      <c r="G14" s="17">
        <v>1</v>
      </c>
      <c r="H14" s="17" t="s">
        <v>184</v>
      </c>
      <c r="I14" s="17" t="s">
        <v>46</v>
      </c>
      <c r="K14" s="17" t="s">
        <v>209</v>
      </c>
      <c r="L14" s="17" t="s">
        <v>210</v>
      </c>
      <c r="N14" s="17">
        <v>999</v>
      </c>
      <c r="O14" s="17">
        <v>100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-88</v>
      </c>
      <c r="Y14" s="17">
        <v>-434</v>
      </c>
      <c r="Z14" s="17">
        <v>0</v>
      </c>
      <c r="AA14" s="17">
        <v>0</v>
      </c>
      <c r="AB14" s="17">
        <v>577</v>
      </c>
    </row>
    <row r="15" s="17" customFormat="1" spans="1:28">
      <c r="A15" s="17" t="s">
        <v>211</v>
      </c>
      <c r="B15" s="17">
        <v>11042433273</v>
      </c>
      <c r="C15" s="17" t="s">
        <v>180</v>
      </c>
      <c r="D15" s="17" t="s">
        <v>212</v>
      </c>
      <c r="E15" s="17" t="s">
        <v>213</v>
      </c>
      <c r="F15" s="17" t="s">
        <v>191</v>
      </c>
      <c r="G15" s="17">
        <v>1</v>
      </c>
      <c r="H15" s="17" t="s">
        <v>184</v>
      </c>
      <c r="I15" s="17" t="s">
        <v>46</v>
      </c>
      <c r="K15" s="17" t="s">
        <v>214</v>
      </c>
      <c r="L15" s="17" t="s">
        <v>215</v>
      </c>
      <c r="N15" s="111">
        <v>2999</v>
      </c>
      <c r="O15" s="17">
        <v>300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-474</v>
      </c>
      <c r="Y15" s="17">
        <v>-434</v>
      </c>
      <c r="Z15" s="17">
        <v>0</v>
      </c>
      <c r="AA15" s="17">
        <v>0</v>
      </c>
      <c r="AB15" s="111">
        <v>2391</v>
      </c>
    </row>
    <row r="16" s="17" customFormat="1" spans="1:28">
      <c r="A16" s="17" t="s">
        <v>216</v>
      </c>
      <c r="B16" s="17">
        <v>11042433273</v>
      </c>
      <c r="C16" s="17" t="s">
        <v>217</v>
      </c>
      <c r="F16" s="17" t="s">
        <v>218</v>
      </c>
      <c r="H16" s="17" t="s">
        <v>219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11">
        <v>-2491</v>
      </c>
      <c r="AB16" s="111">
        <v>-2491</v>
      </c>
    </row>
    <row r="17" s="17" customFormat="1" spans="1:28">
      <c r="A17" s="17" t="s">
        <v>220</v>
      </c>
      <c r="B17" s="17">
        <v>11053244063</v>
      </c>
      <c r="C17" s="17" t="s">
        <v>221</v>
      </c>
      <c r="F17" s="17" t="s">
        <v>222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11">
        <v>-5000</v>
      </c>
      <c r="AB17" s="111">
        <v>-5000</v>
      </c>
    </row>
    <row r="18" s="17" customFormat="1" spans="1:28">
      <c r="A18" s="17" t="s">
        <v>223</v>
      </c>
      <c r="B18" s="17">
        <v>11053244063</v>
      </c>
      <c r="C18" s="17" t="s">
        <v>224</v>
      </c>
      <c r="F18" s="17" t="s">
        <v>225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673</v>
      </c>
      <c r="AB18" s="17">
        <v>673</v>
      </c>
    </row>
    <row r="19" s="17" customFormat="1" spans="1:28">
      <c r="A19" s="17" t="s">
        <v>226</v>
      </c>
      <c r="B19" s="17">
        <v>11053244063</v>
      </c>
      <c r="C19" s="17" t="s">
        <v>227</v>
      </c>
      <c r="D19" s="17" t="s">
        <v>228</v>
      </c>
      <c r="E19" s="17" t="s">
        <v>229</v>
      </c>
      <c r="F19" s="17" t="s">
        <v>230</v>
      </c>
      <c r="G19" s="17">
        <v>2</v>
      </c>
      <c r="H19" s="17" t="s">
        <v>184</v>
      </c>
      <c r="I19" s="17" t="s">
        <v>185</v>
      </c>
      <c r="K19" s="17" t="s">
        <v>231</v>
      </c>
      <c r="L19" s="17" t="s">
        <v>232</v>
      </c>
      <c r="N19" s="111">
        <v>-2252</v>
      </c>
      <c r="O19" s="17">
        <v>-226</v>
      </c>
      <c r="P19" s="17">
        <v>-674</v>
      </c>
      <c r="Q19" s="17">
        <v>-68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436</v>
      </c>
      <c r="Y19" s="17">
        <v>0</v>
      </c>
      <c r="Z19" s="17">
        <v>0</v>
      </c>
      <c r="AA19" s="17">
        <v>0</v>
      </c>
      <c r="AB19" s="111">
        <v>-2784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workbookViewId="0">
      <selection activeCell="J18" sqref="J18"/>
    </sheetView>
  </sheetViews>
  <sheetFormatPr defaultColWidth="9.23076923076923" defaultRowHeight="16.8"/>
  <sheetData>
    <row r="1" spans="1:27">
      <c r="A1" s="18" t="s">
        <v>233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>
      <c r="A2" s="18" t="s">
        <v>234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>
      <c r="A3" s="18" t="s">
        <v>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>
      <c r="A4" s="18" t="s">
        <v>235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>
      <c r="A5" s="18" t="s">
        <v>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>
      <c r="A6" s="18" t="s">
        <v>236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>
      <c r="A7" s="18" t="s">
        <v>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>
      <c r="A8" s="18" t="s">
        <v>9</v>
      </c>
      <c r="B8" s="18" t="s">
        <v>10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15</v>
      </c>
      <c r="H8" s="18" t="s">
        <v>16</v>
      </c>
      <c r="I8" s="18" t="s">
        <v>237</v>
      </c>
      <c r="J8" s="18" t="s">
        <v>19</v>
      </c>
      <c r="K8" s="18" t="s">
        <v>20</v>
      </c>
      <c r="L8" s="18" t="s">
        <v>21</v>
      </c>
      <c r="M8" s="18" t="s">
        <v>22</v>
      </c>
      <c r="N8" s="18" t="s">
        <v>23</v>
      </c>
      <c r="O8" s="18" t="s">
        <v>24</v>
      </c>
      <c r="P8" s="18" t="s">
        <v>238</v>
      </c>
      <c r="Q8" s="18" t="s">
        <v>26</v>
      </c>
      <c r="R8" s="18" t="s">
        <v>27</v>
      </c>
      <c r="S8" s="18" t="s">
        <v>28</v>
      </c>
      <c r="T8" s="18" t="s">
        <v>31</v>
      </c>
      <c r="U8" s="18" t="s">
        <v>32</v>
      </c>
      <c r="V8" s="18" t="s">
        <v>33</v>
      </c>
      <c r="W8" s="18" t="s">
        <v>34</v>
      </c>
      <c r="X8" s="18" t="s">
        <v>35</v>
      </c>
      <c r="Y8" s="18" t="s">
        <v>36</v>
      </c>
      <c r="Z8" s="18" t="s">
        <v>37</v>
      </c>
      <c r="AA8" s="18" t="s">
        <v>38</v>
      </c>
    </row>
    <row r="9" spans="1:27">
      <c r="A9" s="18" t="s">
        <v>239</v>
      </c>
      <c r="B9" s="18">
        <v>17377940452</v>
      </c>
      <c r="C9" s="18"/>
      <c r="D9" s="18" t="s">
        <v>240</v>
      </c>
      <c r="E9" s="18"/>
      <c r="F9" s="18" t="s">
        <v>241</v>
      </c>
      <c r="G9" s="18">
        <v>1</v>
      </c>
      <c r="H9" s="18" t="s">
        <v>242</v>
      </c>
      <c r="I9" s="18"/>
      <c r="J9" s="18"/>
      <c r="K9" s="18"/>
      <c r="L9" s="18"/>
      <c r="M9" s="18"/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-0.45</v>
      </c>
      <c r="Z9" s="18">
        <v>0</v>
      </c>
      <c r="AA9" s="18">
        <v>-0.45</v>
      </c>
    </row>
    <row r="10" spans="1:27">
      <c r="A10" s="18" t="s">
        <v>243</v>
      </c>
      <c r="B10" s="18">
        <v>17377940452</v>
      </c>
      <c r="C10" s="18" t="s">
        <v>52</v>
      </c>
      <c r="D10" s="18" t="s">
        <v>244</v>
      </c>
      <c r="E10" s="18" t="s">
        <v>245</v>
      </c>
      <c r="F10" s="18" t="s">
        <v>246</v>
      </c>
      <c r="G10" s="18">
        <v>1</v>
      </c>
      <c r="H10" s="18" t="s">
        <v>247</v>
      </c>
      <c r="I10" s="18" t="s">
        <v>46</v>
      </c>
      <c r="J10" s="18" t="s">
        <v>248</v>
      </c>
      <c r="K10" s="18"/>
      <c r="L10" s="18" t="s">
        <v>249</v>
      </c>
      <c r="M10" s="18" t="s">
        <v>50</v>
      </c>
      <c r="N10" s="18">
        <v>23.99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-3.67</v>
      </c>
      <c r="X10" s="18">
        <v>-2.52</v>
      </c>
      <c r="Y10" s="18">
        <v>0</v>
      </c>
      <c r="Z10" s="18">
        <v>0</v>
      </c>
      <c r="AA10" s="18">
        <v>17.8</v>
      </c>
    </row>
    <row r="11" spans="1:27">
      <c r="A11" s="18" t="s">
        <v>250</v>
      </c>
      <c r="B11" s="18">
        <v>17377940452</v>
      </c>
      <c r="C11" s="18" t="s">
        <v>105</v>
      </c>
      <c r="D11" s="18"/>
      <c r="E11" s="18"/>
      <c r="F11" s="18" t="s">
        <v>251</v>
      </c>
      <c r="G11" s="18"/>
      <c r="H11" s="18" t="s">
        <v>242</v>
      </c>
      <c r="I11" s="18"/>
      <c r="J11" s="18"/>
      <c r="K11" s="18"/>
      <c r="L11" s="18"/>
      <c r="M11" s="18"/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-5.43</v>
      </c>
      <c r="AA11" s="18">
        <v>-5.43</v>
      </c>
    </row>
    <row r="12" spans="1:27">
      <c r="A12" s="18" t="s">
        <v>252</v>
      </c>
      <c r="B12" s="18">
        <v>17377940452</v>
      </c>
      <c r="C12" s="18" t="s">
        <v>77</v>
      </c>
      <c r="D12" s="18" t="s">
        <v>253</v>
      </c>
      <c r="E12" s="18" t="s">
        <v>254</v>
      </c>
      <c r="F12" s="18" t="s">
        <v>80</v>
      </c>
      <c r="G12" s="18"/>
      <c r="H12" s="18" t="s">
        <v>242</v>
      </c>
      <c r="I12" s="18"/>
      <c r="J12" s="18"/>
      <c r="K12" s="18"/>
      <c r="L12" s="18"/>
      <c r="M12" s="18"/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-1.17</v>
      </c>
      <c r="Y12" s="18">
        <v>0</v>
      </c>
      <c r="Z12" s="18">
        <v>0</v>
      </c>
      <c r="AA12" s="18">
        <v>-1.17</v>
      </c>
    </row>
    <row r="13" spans="1:27">
      <c r="A13" s="18" t="s">
        <v>255</v>
      </c>
      <c r="B13" s="18">
        <v>17459824942</v>
      </c>
      <c r="C13" s="18" t="s">
        <v>111</v>
      </c>
      <c r="D13" s="18"/>
      <c r="E13" s="18"/>
      <c r="F13" s="18" t="s">
        <v>256</v>
      </c>
      <c r="G13" s="18"/>
      <c r="H13" s="18"/>
      <c r="I13" s="18"/>
      <c r="J13" s="18"/>
      <c r="K13" s="18"/>
      <c r="L13" s="18"/>
      <c r="M13" s="18"/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-189.65</v>
      </c>
      <c r="AA13" s="18">
        <v>-189.65</v>
      </c>
    </row>
    <row r="14" spans="1:27">
      <c r="A14" s="18" t="s">
        <v>257</v>
      </c>
      <c r="B14" s="18">
        <v>17459824942</v>
      </c>
      <c r="C14" s="18" t="s">
        <v>62</v>
      </c>
      <c r="D14" s="18" t="s">
        <v>258</v>
      </c>
      <c r="E14" s="18" t="s">
        <v>259</v>
      </c>
      <c r="F14" s="18" t="s">
        <v>68</v>
      </c>
      <c r="G14" s="18">
        <v>1</v>
      </c>
      <c r="H14" s="18"/>
      <c r="I14" s="18"/>
      <c r="J14" s="18"/>
      <c r="K14" s="18"/>
      <c r="L14" s="18"/>
      <c r="M14" s="18"/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10.6</v>
      </c>
      <c r="AA14" s="18">
        <v>10.6</v>
      </c>
    </row>
    <row r="15" spans="1:27">
      <c r="A15" s="18" t="s">
        <v>260</v>
      </c>
      <c r="B15" s="18">
        <v>17459824942</v>
      </c>
      <c r="C15" s="18" t="s">
        <v>261</v>
      </c>
      <c r="D15" s="18">
        <v>5257685199552</v>
      </c>
      <c r="E15" s="18" t="s">
        <v>262</v>
      </c>
      <c r="F15" s="18" t="s">
        <v>263</v>
      </c>
      <c r="G15" s="18">
        <v>1</v>
      </c>
      <c r="H15" s="18"/>
      <c r="I15" s="18"/>
      <c r="J15" s="18"/>
      <c r="K15" s="18"/>
      <c r="L15" s="18"/>
      <c r="M15" s="18"/>
      <c r="N15" s="18">
        <v>0.44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-0.32</v>
      </c>
      <c r="Z15" s="18">
        <v>0</v>
      </c>
      <c r="AA15" s="18">
        <v>0.12</v>
      </c>
    </row>
    <row r="16" spans="1:27">
      <c r="A16" s="18" t="s">
        <v>264</v>
      </c>
      <c r="B16" s="18">
        <v>17459824942</v>
      </c>
      <c r="C16" s="18" t="s">
        <v>100</v>
      </c>
      <c r="D16" s="18"/>
      <c r="E16" s="18"/>
      <c r="F16" s="18" t="s">
        <v>265</v>
      </c>
      <c r="G16" s="18"/>
      <c r="H16" s="18" t="s">
        <v>242</v>
      </c>
      <c r="I16" s="18"/>
      <c r="J16" s="18"/>
      <c r="K16" s="18"/>
      <c r="L16" s="18"/>
      <c r="M16" s="18"/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-25</v>
      </c>
      <c r="AA16" s="18">
        <v>-25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pane ySplit="2" topLeftCell="A3" activePane="bottomLeft" state="frozen"/>
      <selection/>
      <selection pane="bottomLeft" activeCell="L24" sqref="L24"/>
    </sheetView>
  </sheetViews>
  <sheetFormatPr defaultColWidth="9" defaultRowHeight="16.8"/>
  <cols>
    <col min="1" max="1" width="9.13461538461539" style="94"/>
    <col min="2" max="2" width="25.5" style="95" customWidth="1"/>
    <col min="3" max="3" width="15.3846153846154" style="95" customWidth="1"/>
    <col min="4" max="4" width="10.1346153846154" style="92" customWidth="1"/>
    <col min="5" max="5" width="3.63461538461538" style="92" customWidth="1"/>
    <col min="6" max="7" width="6" style="92" customWidth="1"/>
    <col min="8" max="8" width="5.63461538461539" style="92" customWidth="1"/>
    <col min="9" max="9" width="5.25" style="92" customWidth="1"/>
    <col min="10" max="10" width="6" style="92" customWidth="1"/>
    <col min="11" max="11" width="9" style="96"/>
    <col min="12" max="12" width="11.75" style="96" customWidth="1"/>
    <col min="13" max="14" width="9" style="92"/>
    <col min="15" max="15" width="4.13461538461539" style="92" customWidth="1"/>
    <col min="16" max="16" width="8.23076923076923" style="92" customWidth="1"/>
    <col min="17" max="17" width="7.38461538461539" style="92" customWidth="1"/>
    <col min="18" max="19" width="7.61538461538461" style="92" customWidth="1"/>
    <col min="20" max="20" width="7.38461538461539" style="92" customWidth="1"/>
    <col min="21" max="21" width="7.61538461538461" style="92" customWidth="1"/>
    <col min="22" max="22" width="8.15384615384615" style="92" customWidth="1"/>
    <col min="23" max="23" width="6" style="92" customWidth="1"/>
    <col min="24" max="24" width="6.69230769230769" style="92" customWidth="1"/>
    <col min="25" max="16384" width="9" style="92"/>
  </cols>
  <sheetData>
    <row r="1" s="90" customFormat="1" ht="30" customHeight="1" spans="1:24">
      <c r="A1" s="97" t="s">
        <v>266</v>
      </c>
      <c r="B1" s="97" t="s">
        <v>267</v>
      </c>
      <c r="C1" s="97" t="s">
        <v>268</v>
      </c>
      <c r="D1" s="98" t="s">
        <v>269</v>
      </c>
      <c r="E1" s="98" t="s">
        <v>270</v>
      </c>
      <c r="F1" s="98" t="s">
        <v>271</v>
      </c>
      <c r="G1" s="101" t="s">
        <v>272</v>
      </c>
      <c r="H1" s="102" t="s">
        <v>273</v>
      </c>
      <c r="I1" s="98" t="s">
        <v>274</v>
      </c>
      <c r="J1" s="98" t="s">
        <v>275</v>
      </c>
      <c r="K1" s="103" t="s">
        <v>276</v>
      </c>
      <c r="L1" s="103" t="s">
        <v>277</v>
      </c>
      <c r="M1" s="98" t="s">
        <v>278</v>
      </c>
      <c r="N1" s="98" t="s">
        <v>279</v>
      </c>
      <c r="O1" s="108" t="s">
        <v>280</v>
      </c>
      <c r="P1" s="109" t="s">
        <v>281</v>
      </c>
      <c r="Q1" s="109" t="s">
        <v>282</v>
      </c>
      <c r="R1" s="109" t="s">
        <v>283</v>
      </c>
      <c r="S1" s="109" t="s">
        <v>284</v>
      </c>
      <c r="T1" s="109" t="s">
        <v>285</v>
      </c>
      <c r="U1" s="109" t="s">
        <v>286</v>
      </c>
      <c r="V1" s="109" t="s">
        <v>287</v>
      </c>
      <c r="W1" s="109" t="s">
        <v>288</v>
      </c>
      <c r="X1" s="90" t="s">
        <v>289</v>
      </c>
    </row>
    <row r="2" s="91" customFormat="1" ht="15" customHeight="1" spans="1:24">
      <c r="A2" s="97"/>
      <c r="B2" s="97"/>
      <c r="C2" s="97"/>
      <c r="D2" s="98"/>
      <c r="E2" s="98"/>
      <c r="F2" s="98"/>
      <c r="G2" s="101"/>
      <c r="H2" s="102"/>
      <c r="I2" s="98"/>
      <c r="J2" s="98"/>
      <c r="K2" s="103"/>
      <c r="L2" s="103"/>
      <c r="M2" s="98"/>
      <c r="N2" s="98"/>
      <c r="O2" s="92">
        <f>L2-K2</f>
        <v>0</v>
      </c>
      <c r="P2" s="92"/>
      <c r="Q2" s="92"/>
      <c r="R2" s="92"/>
      <c r="S2" s="92"/>
      <c r="T2" s="92"/>
      <c r="U2" s="92"/>
      <c r="V2" s="92"/>
      <c r="W2" s="110">
        <f>COUNTIF(I2,I:I)</f>
        <v>0</v>
      </c>
      <c r="X2" s="91">
        <f>SUM(L:L)</f>
        <v>39.28</v>
      </c>
    </row>
    <row r="3" s="92" customFormat="1" ht="17" spans="1:23">
      <c r="A3" s="94" t="s">
        <v>290</v>
      </c>
      <c r="B3" s="95" t="s">
        <v>291</v>
      </c>
      <c r="C3" s="95" t="s">
        <v>291</v>
      </c>
      <c r="D3" s="92" t="s">
        <v>291</v>
      </c>
      <c r="E3" s="92" t="s">
        <v>291</v>
      </c>
      <c r="F3" s="92" t="s">
        <v>291</v>
      </c>
      <c r="G3" s="92" t="s">
        <v>291</v>
      </c>
      <c r="H3" s="92" t="s">
        <v>291</v>
      </c>
      <c r="I3" s="92" t="s">
        <v>291</v>
      </c>
      <c r="J3" s="92" t="s">
        <v>291</v>
      </c>
      <c r="K3" s="96" t="s">
        <v>291</v>
      </c>
      <c r="L3" s="92" t="s">
        <v>291</v>
      </c>
      <c r="M3" s="92" t="s">
        <v>292</v>
      </c>
      <c r="N3" s="92" t="s">
        <v>292</v>
      </c>
      <c r="O3" s="92" t="s">
        <v>291</v>
      </c>
      <c r="P3" s="109" t="s">
        <v>286</v>
      </c>
      <c r="Q3" s="110" t="s">
        <v>291</v>
      </c>
      <c r="W3" s="110"/>
    </row>
    <row r="4" s="93" customFormat="1" spans="1:16">
      <c r="A4" s="99">
        <v>44587</v>
      </c>
      <c r="B4" s="17" t="s">
        <v>181</v>
      </c>
      <c r="C4" s="100" t="s">
        <v>293</v>
      </c>
      <c r="D4" s="93" t="s">
        <v>285</v>
      </c>
      <c r="F4" s="93">
        <v>82</v>
      </c>
      <c r="G4" s="93">
        <v>50</v>
      </c>
      <c r="I4" s="93">
        <v>15</v>
      </c>
      <c r="K4" s="104">
        <f>((G4+H4)*0.001)*F4+I4</f>
        <v>19.1</v>
      </c>
      <c r="L4" s="105">
        <f>K4</f>
        <v>19.1</v>
      </c>
      <c r="O4" s="93">
        <f>L4-K4</f>
        <v>0</v>
      </c>
      <c r="P4" s="93" t="s">
        <v>285</v>
      </c>
    </row>
    <row r="5" spans="1:16">
      <c r="A5" s="94">
        <v>44587</v>
      </c>
      <c r="B5" s="18" t="s">
        <v>115</v>
      </c>
      <c r="C5" s="100" t="s">
        <v>294</v>
      </c>
      <c r="D5" t="s">
        <v>295</v>
      </c>
      <c r="E5"/>
      <c r="F5">
        <v>81</v>
      </c>
      <c r="G5">
        <v>64</v>
      </c>
      <c r="H5"/>
      <c r="I5">
        <v>15</v>
      </c>
      <c r="J5"/>
      <c r="K5" s="106">
        <v>20.18</v>
      </c>
      <c r="L5" s="107">
        <v>20.18</v>
      </c>
      <c r="M5"/>
      <c r="O5" s="92">
        <f>L5-K5</f>
        <v>0</v>
      </c>
      <c r="P5" s="109" t="s">
        <v>296</v>
      </c>
    </row>
    <row r="6" spans="11:15">
      <c r="K6" s="107">
        <f>((G6+H6)*0.001)*F6+I6</f>
        <v>0</v>
      </c>
      <c r="O6" s="92">
        <f>L6-K6</f>
        <v>0</v>
      </c>
    </row>
    <row r="7" spans="11:15">
      <c r="K7" s="107">
        <f>((G7+H7)*0.001)*F7+I7</f>
        <v>0</v>
      </c>
      <c r="O7" s="92">
        <f>L7-K7</f>
        <v>0</v>
      </c>
    </row>
    <row r="8" spans="11:15">
      <c r="K8" s="107">
        <f t="shared" ref="K8:K21" si="0">((G8+H8)*0.001)*F8+I8</f>
        <v>0</v>
      </c>
      <c r="O8" s="92">
        <f t="shared" ref="O8:O21" si="1">L8-K8</f>
        <v>0</v>
      </c>
    </row>
    <row r="9" spans="11:15">
      <c r="K9" s="107">
        <f t="shared" si="0"/>
        <v>0</v>
      </c>
      <c r="O9" s="92">
        <f t="shared" si="1"/>
        <v>0</v>
      </c>
    </row>
    <row r="10" spans="11:15">
      <c r="K10" s="107">
        <f t="shared" si="0"/>
        <v>0</v>
      </c>
      <c r="O10" s="92">
        <f t="shared" si="1"/>
        <v>0</v>
      </c>
    </row>
    <row r="11" spans="11:15">
      <c r="K11" s="107">
        <f t="shared" si="0"/>
        <v>0</v>
      </c>
      <c r="O11" s="92">
        <f t="shared" si="1"/>
        <v>0</v>
      </c>
    </row>
    <row r="12" spans="11:15">
      <c r="K12" s="107">
        <f t="shared" si="0"/>
        <v>0</v>
      </c>
      <c r="O12" s="92">
        <f t="shared" si="1"/>
        <v>0</v>
      </c>
    </row>
    <row r="13" spans="11:15">
      <c r="K13" s="107">
        <f t="shared" si="0"/>
        <v>0</v>
      </c>
      <c r="O13" s="92">
        <f t="shared" si="1"/>
        <v>0</v>
      </c>
    </row>
    <row r="14" spans="11:15">
      <c r="K14" s="107">
        <f t="shared" si="0"/>
        <v>0</v>
      </c>
      <c r="O14" s="92">
        <f t="shared" si="1"/>
        <v>0</v>
      </c>
    </row>
    <row r="15" spans="11:15">
      <c r="K15" s="107">
        <f t="shared" si="0"/>
        <v>0</v>
      </c>
      <c r="O15" s="92">
        <f t="shared" si="1"/>
        <v>0</v>
      </c>
    </row>
    <row r="16" spans="11:15">
      <c r="K16" s="107">
        <f t="shared" si="0"/>
        <v>0</v>
      </c>
      <c r="O16" s="92">
        <f t="shared" si="1"/>
        <v>0</v>
      </c>
    </row>
    <row r="17" spans="11:15">
      <c r="K17" s="107">
        <f t="shared" si="0"/>
        <v>0</v>
      </c>
      <c r="O17" s="92">
        <f t="shared" si="1"/>
        <v>0</v>
      </c>
    </row>
    <row r="18" spans="11:15">
      <c r="K18" s="107">
        <f t="shared" si="0"/>
        <v>0</v>
      </c>
      <c r="O18" s="92">
        <f t="shared" si="1"/>
        <v>0</v>
      </c>
    </row>
    <row r="19" spans="11:15">
      <c r="K19" s="107">
        <f t="shared" si="0"/>
        <v>0</v>
      </c>
      <c r="O19" s="92">
        <f t="shared" si="1"/>
        <v>0</v>
      </c>
    </row>
    <row r="20" spans="11:15">
      <c r="K20" s="107">
        <f t="shared" si="0"/>
        <v>0</v>
      </c>
      <c r="O20" s="92">
        <f t="shared" si="1"/>
        <v>0</v>
      </c>
    </row>
    <row r="21" spans="11:15">
      <c r="K21" s="107">
        <f t="shared" si="0"/>
        <v>0</v>
      </c>
      <c r="O21" s="92">
        <f t="shared" si="1"/>
        <v>0</v>
      </c>
    </row>
  </sheetData>
  <autoFilter ref="A2:Y21">
    <extLst/>
  </autoFilter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pageMargins left="0.75" right="0.75" top="1" bottom="1" header="0.511805555555556" footer="0.511805555555556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6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M1" sqref="M$1:P$1048576"/>
    </sheetView>
  </sheetViews>
  <sheetFormatPr defaultColWidth="9" defaultRowHeight="16.8"/>
  <cols>
    <col min="2" max="2" width="11" customWidth="1"/>
    <col min="3" max="3" width="4.75" customWidth="1"/>
    <col min="6" max="6" width="4.875" customWidth="1"/>
    <col min="7" max="7" width="6" customWidth="1"/>
    <col min="8" max="8" width="5.75" customWidth="1"/>
    <col min="9" max="10" width="3.75" customWidth="1"/>
    <col min="11" max="12" width="7.25" customWidth="1"/>
    <col min="13" max="13" width="6.375" customWidth="1"/>
    <col min="14" max="16" width="3" customWidth="1"/>
    <col min="17" max="17" width="9.375"/>
    <col min="18" max="18" width="4.625" customWidth="1"/>
    <col min="19" max="19" width="5.25" customWidth="1"/>
    <col min="20" max="23" width="2.75" customWidth="1"/>
    <col min="24" max="24" width="11.5" customWidth="1"/>
    <col min="26" max="26" width="12.5"/>
    <col min="27" max="27" width="11.5"/>
    <col min="29" max="29" width="9.375" customWidth="1"/>
    <col min="30" max="30" width="5.125" customWidth="1"/>
    <col min="31" max="32" width="9.5" customWidth="1"/>
    <col min="33" max="33" width="11.5" customWidth="1"/>
    <col min="34" max="34" width="9.5" customWidth="1"/>
  </cols>
  <sheetData>
    <row r="1" customFormat="1" ht="33" customHeight="1" spans="1:34">
      <c r="A1" s="5" t="s">
        <v>297</v>
      </c>
      <c r="B1" s="5" t="s">
        <v>298</v>
      </c>
      <c r="C1" s="5" t="s">
        <v>299</v>
      </c>
      <c r="D1" s="58" t="s">
        <v>13</v>
      </c>
      <c r="E1" s="58" t="s">
        <v>300</v>
      </c>
      <c r="F1" s="58" t="s">
        <v>154</v>
      </c>
      <c r="G1" s="58" t="s">
        <v>301</v>
      </c>
      <c r="H1" s="5" t="s">
        <v>302</v>
      </c>
      <c r="I1" s="68" t="s">
        <v>303</v>
      </c>
      <c r="J1" s="5" t="s">
        <v>304</v>
      </c>
      <c r="K1" s="68" t="s">
        <v>305</v>
      </c>
      <c r="L1" s="24" t="s">
        <v>306</v>
      </c>
      <c r="M1" s="5" t="s">
        <v>307</v>
      </c>
      <c r="N1" s="5" t="s">
        <v>308</v>
      </c>
      <c r="O1" s="5" t="s">
        <v>309</v>
      </c>
      <c r="P1" s="5" t="s">
        <v>310</v>
      </c>
      <c r="Q1" s="24" t="s">
        <v>311</v>
      </c>
      <c r="R1" s="5" t="s">
        <v>312</v>
      </c>
      <c r="S1" s="5" t="s">
        <v>313</v>
      </c>
      <c r="T1" s="76" t="s">
        <v>314</v>
      </c>
      <c r="U1" s="76" t="s">
        <v>315</v>
      </c>
      <c r="V1" s="76" t="s">
        <v>316</v>
      </c>
      <c r="W1" s="76" t="s">
        <v>317</v>
      </c>
      <c r="X1" s="5" t="s">
        <v>318</v>
      </c>
      <c r="Y1" s="24" t="s">
        <v>319</v>
      </c>
      <c r="Z1" s="24" t="s">
        <v>320</v>
      </c>
      <c r="AA1" s="24" t="s">
        <v>321</v>
      </c>
      <c r="AB1" s="24" t="s">
        <v>322</v>
      </c>
      <c r="AC1" s="5" t="s">
        <v>323</v>
      </c>
      <c r="AD1" s="5" t="s">
        <v>324</v>
      </c>
      <c r="AE1" s="5" t="s">
        <v>325</v>
      </c>
      <c r="AF1" s="5" t="s">
        <v>326</v>
      </c>
      <c r="AG1" s="24" t="s">
        <v>327</v>
      </c>
      <c r="AH1" s="5" t="s">
        <v>328</v>
      </c>
    </row>
    <row r="2" s="1" customFormat="1" ht="18.75" customHeight="1" spans="1:34">
      <c r="A2" s="8" t="s">
        <v>329</v>
      </c>
      <c r="B2" s="19" t="s">
        <v>330</v>
      </c>
      <c r="C2" s="19">
        <v>1</v>
      </c>
      <c r="D2" s="19" t="s">
        <v>67</v>
      </c>
      <c r="E2" s="19">
        <v>24</v>
      </c>
      <c r="F2" s="19">
        <v>1</v>
      </c>
      <c r="G2" s="19">
        <v>6.2</v>
      </c>
      <c r="H2" s="20">
        <f>E2*F2/G2</f>
        <v>3.87096774193548</v>
      </c>
      <c r="I2" s="69">
        <v>160</v>
      </c>
      <c r="J2" s="25">
        <v>0.0022046</v>
      </c>
      <c r="K2" s="69">
        <v>180</v>
      </c>
      <c r="L2" s="70">
        <f>K2/1000</f>
        <v>0.18</v>
      </c>
      <c r="M2" s="29">
        <f>K2*J2</f>
        <v>0.396828</v>
      </c>
      <c r="N2" s="30">
        <v>8.07</v>
      </c>
      <c r="O2" s="30">
        <v>7.09</v>
      </c>
      <c r="P2" s="30">
        <v>1.97</v>
      </c>
      <c r="Q2" s="45">
        <v>2.0323</v>
      </c>
      <c r="R2" s="39"/>
      <c r="S2" s="45">
        <v>2.8883</v>
      </c>
      <c r="T2" s="45"/>
      <c r="U2" s="45"/>
      <c r="V2" s="45"/>
      <c r="W2" s="45"/>
      <c r="X2" s="20">
        <v>4.04</v>
      </c>
      <c r="Y2" s="20">
        <v>0.6</v>
      </c>
      <c r="Z2" s="20">
        <f t="shared" ref="Z2:Z10" si="0">S2+X2</f>
        <v>6.9283</v>
      </c>
      <c r="AA2" s="38">
        <v>16.99</v>
      </c>
      <c r="AB2" s="19"/>
      <c r="AC2" s="45">
        <f t="shared" ref="AC2:AC10" si="1">AA2-Z2</f>
        <v>10.0617</v>
      </c>
      <c r="AD2" s="85">
        <v>0.03</v>
      </c>
      <c r="AE2" s="45">
        <f t="shared" ref="AE2:AE10" si="2">AC2*(1-AD2)</f>
        <v>9.759849</v>
      </c>
      <c r="AF2" s="20">
        <f t="shared" ref="AF2:AF10" si="3">AE2-H2-Q2-Y2</f>
        <v>3.25658125806451</v>
      </c>
      <c r="AG2" s="87">
        <f>AF2*G2</f>
        <v>20.1908038</v>
      </c>
      <c r="AH2" s="51">
        <f t="shared" ref="AH2:AH10" si="4">AF2/AA2</f>
        <v>0.191676354212155</v>
      </c>
    </row>
    <row r="3" s="1" customFormat="1" ht="18.75" customHeight="1" spans="1:34">
      <c r="A3" s="8" t="s">
        <v>329</v>
      </c>
      <c r="B3" s="19" t="s">
        <v>330</v>
      </c>
      <c r="C3" s="19">
        <v>5</v>
      </c>
      <c r="D3" s="19" t="s">
        <v>75</v>
      </c>
      <c r="E3" s="19">
        <v>27</v>
      </c>
      <c r="F3" s="19">
        <v>1</v>
      </c>
      <c r="G3" s="19">
        <v>6.2</v>
      </c>
      <c r="H3" s="20">
        <f t="shared" ref="H2:H10" si="5">E3*F3/G3</f>
        <v>4.35483870967742</v>
      </c>
      <c r="I3" s="69">
        <v>160</v>
      </c>
      <c r="J3" s="25">
        <v>0.0022046</v>
      </c>
      <c r="K3" s="69">
        <v>222</v>
      </c>
      <c r="L3" s="70">
        <f t="shared" ref="L3:L10" si="6">K3/1000</f>
        <v>0.222</v>
      </c>
      <c r="M3" s="29">
        <f>K3*J3</f>
        <v>0.4894212</v>
      </c>
      <c r="N3" s="30">
        <v>8.07</v>
      </c>
      <c r="O3" s="30">
        <v>7.09</v>
      </c>
      <c r="P3" s="30">
        <v>1.97</v>
      </c>
      <c r="Q3" s="45">
        <v>2.5065</v>
      </c>
      <c r="R3" s="39"/>
      <c r="S3" s="45">
        <v>3.0583</v>
      </c>
      <c r="T3" s="45"/>
      <c r="U3" s="45"/>
      <c r="V3" s="45"/>
      <c r="W3" s="45"/>
      <c r="X3" s="20">
        <v>4.04</v>
      </c>
      <c r="Y3" s="20">
        <v>0.6</v>
      </c>
      <c r="Z3" s="20">
        <f t="shared" si="0"/>
        <v>7.0983</v>
      </c>
      <c r="AA3" s="38">
        <v>17.99</v>
      </c>
      <c r="AB3" s="19"/>
      <c r="AC3" s="45">
        <f t="shared" si="1"/>
        <v>10.8917</v>
      </c>
      <c r="AD3" s="85">
        <v>0.03</v>
      </c>
      <c r="AE3" s="45">
        <f t="shared" si="2"/>
        <v>10.564949</v>
      </c>
      <c r="AF3" s="20">
        <f t="shared" si="3"/>
        <v>3.10361029032258</v>
      </c>
      <c r="AG3" s="87">
        <f t="shared" ref="AG2:AG10" si="7">AF3*G3</f>
        <v>19.2423838</v>
      </c>
      <c r="AH3" s="51">
        <f t="shared" si="4"/>
        <v>0.172518637594362</v>
      </c>
    </row>
    <row r="4" s="1" customFormat="1" ht="18.75" customHeight="1" spans="1:34">
      <c r="A4" s="8" t="s">
        <v>329</v>
      </c>
      <c r="B4" s="19" t="s">
        <v>331</v>
      </c>
      <c r="C4" s="19">
        <v>1</v>
      </c>
      <c r="D4" s="19" t="s">
        <v>42</v>
      </c>
      <c r="E4" s="19">
        <v>40</v>
      </c>
      <c r="F4" s="19">
        <v>1</v>
      </c>
      <c r="G4" s="19">
        <v>6.2</v>
      </c>
      <c r="H4" s="20">
        <f t="shared" si="5"/>
        <v>6.45161290322581</v>
      </c>
      <c r="I4" s="69">
        <v>160</v>
      </c>
      <c r="J4" s="25">
        <v>0.0022046</v>
      </c>
      <c r="K4" s="69">
        <v>294</v>
      </c>
      <c r="L4" s="70">
        <f t="shared" si="6"/>
        <v>0.294</v>
      </c>
      <c r="M4" s="29">
        <f t="shared" ref="M2:M10" si="8">K4*J4</f>
        <v>0.6481524</v>
      </c>
      <c r="N4" s="30">
        <v>10.63</v>
      </c>
      <c r="O4" s="30">
        <v>7.09</v>
      </c>
      <c r="P4" s="30">
        <v>1.97</v>
      </c>
      <c r="Q4" s="45">
        <v>3.3194</v>
      </c>
      <c r="R4" s="39"/>
      <c r="S4" s="45">
        <v>4.0783</v>
      </c>
      <c r="T4" s="45"/>
      <c r="U4" s="45"/>
      <c r="V4" s="45"/>
      <c r="W4" s="45"/>
      <c r="X4" s="20">
        <v>4.04</v>
      </c>
      <c r="Y4" s="20">
        <v>0.6</v>
      </c>
      <c r="Z4" s="20">
        <f t="shared" si="0"/>
        <v>8.1183</v>
      </c>
      <c r="AA4" s="38">
        <v>23.99</v>
      </c>
      <c r="AB4" s="19"/>
      <c r="AC4" s="45">
        <f t="shared" si="1"/>
        <v>15.8717</v>
      </c>
      <c r="AD4" s="85">
        <v>0.03</v>
      </c>
      <c r="AE4" s="45">
        <f t="shared" si="2"/>
        <v>15.395549</v>
      </c>
      <c r="AF4" s="20">
        <f t="shared" si="3"/>
        <v>5.02453609677419</v>
      </c>
      <c r="AG4" s="87">
        <f t="shared" si="7"/>
        <v>31.1521238</v>
      </c>
      <c r="AH4" s="51">
        <f t="shared" si="4"/>
        <v>0.209442938590004</v>
      </c>
    </row>
    <row r="5" s="1" customFormat="1" ht="18.75" customHeight="1" spans="1:34">
      <c r="A5" s="8" t="s">
        <v>329</v>
      </c>
      <c r="B5" s="19" t="s">
        <v>332</v>
      </c>
      <c r="C5" s="19">
        <v>3</v>
      </c>
      <c r="D5" s="19" t="s">
        <v>63</v>
      </c>
      <c r="E5" s="19">
        <v>9</v>
      </c>
      <c r="F5" s="19">
        <v>1</v>
      </c>
      <c r="G5" s="19">
        <v>6.2</v>
      </c>
      <c r="H5" s="20">
        <f t="shared" si="5"/>
        <v>1.45161290322581</v>
      </c>
      <c r="I5" s="69">
        <v>80</v>
      </c>
      <c r="J5" s="25">
        <v>0.0022046</v>
      </c>
      <c r="K5" s="69">
        <v>80</v>
      </c>
      <c r="L5" s="70">
        <f t="shared" si="6"/>
        <v>0.08</v>
      </c>
      <c r="M5" s="29">
        <f t="shared" si="8"/>
        <v>0.176368</v>
      </c>
      <c r="N5" s="30">
        <v>8.07</v>
      </c>
      <c r="O5" s="30">
        <v>7.09</v>
      </c>
      <c r="P5" s="30">
        <v>1</v>
      </c>
      <c r="Q5" s="45">
        <v>0.9032</v>
      </c>
      <c r="R5" s="39"/>
      <c r="S5" s="45">
        <v>1.9873</v>
      </c>
      <c r="T5" s="45"/>
      <c r="U5" s="45"/>
      <c r="V5" s="45"/>
      <c r="W5" s="45"/>
      <c r="X5" s="20">
        <v>4.04</v>
      </c>
      <c r="Y5" s="20">
        <v>0.6</v>
      </c>
      <c r="Z5" s="20">
        <f t="shared" si="0"/>
        <v>6.0273</v>
      </c>
      <c r="AA5" s="38">
        <v>11.69</v>
      </c>
      <c r="AB5" s="80"/>
      <c r="AC5" s="45">
        <f t="shared" si="1"/>
        <v>5.6627</v>
      </c>
      <c r="AD5" s="39">
        <v>0.03</v>
      </c>
      <c r="AE5" s="45">
        <f t="shared" si="2"/>
        <v>5.492819</v>
      </c>
      <c r="AF5" s="20">
        <f t="shared" si="3"/>
        <v>2.53800609677419</v>
      </c>
      <c r="AG5" s="87">
        <f t="shared" si="7"/>
        <v>15.7356378</v>
      </c>
      <c r="AH5" s="51">
        <f t="shared" si="4"/>
        <v>0.217109161400701</v>
      </c>
    </row>
    <row r="6" s="1" customFormat="1" ht="18.75" customHeight="1" spans="1:34">
      <c r="A6" s="8" t="s">
        <v>329</v>
      </c>
      <c r="B6" s="19" t="s">
        <v>333</v>
      </c>
      <c r="C6" s="19">
        <v>1</v>
      </c>
      <c r="D6" s="19" t="s">
        <v>83</v>
      </c>
      <c r="E6" s="19">
        <v>9</v>
      </c>
      <c r="F6" s="19">
        <v>1</v>
      </c>
      <c r="G6" s="19">
        <v>6.2</v>
      </c>
      <c r="H6" s="20">
        <f t="shared" si="5"/>
        <v>1.45161290322581</v>
      </c>
      <c r="I6" s="69">
        <v>70</v>
      </c>
      <c r="J6" s="25">
        <v>0.0022046</v>
      </c>
      <c r="K6" s="69">
        <v>70</v>
      </c>
      <c r="L6" s="70">
        <f t="shared" si="6"/>
        <v>0.07</v>
      </c>
      <c r="M6" s="29">
        <f t="shared" si="8"/>
        <v>0.154322</v>
      </c>
      <c r="N6" s="30">
        <v>8.07</v>
      </c>
      <c r="O6" s="30">
        <v>7.09</v>
      </c>
      <c r="P6" s="30">
        <v>1</v>
      </c>
      <c r="Q6" s="45">
        <v>0.7903</v>
      </c>
      <c r="R6" s="39"/>
      <c r="S6" s="45">
        <v>1.9873</v>
      </c>
      <c r="T6" s="45"/>
      <c r="U6" s="45"/>
      <c r="V6" s="45"/>
      <c r="W6" s="45"/>
      <c r="X6" s="20">
        <v>4.04</v>
      </c>
      <c r="Y6" s="20">
        <v>0.6</v>
      </c>
      <c r="Z6" s="20">
        <f t="shared" si="0"/>
        <v>6.0273</v>
      </c>
      <c r="AA6" s="38">
        <v>11.69</v>
      </c>
      <c r="AB6" s="80"/>
      <c r="AC6" s="45">
        <f t="shared" si="1"/>
        <v>5.6627</v>
      </c>
      <c r="AD6" s="39">
        <v>0.03</v>
      </c>
      <c r="AE6" s="45">
        <f t="shared" si="2"/>
        <v>5.492819</v>
      </c>
      <c r="AF6" s="20">
        <f t="shared" si="3"/>
        <v>2.65090609677419</v>
      </c>
      <c r="AG6" s="87">
        <f t="shared" si="7"/>
        <v>16.4356178</v>
      </c>
      <c r="AH6" s="51">
        <f t="shared" si="4"/>
        <v>0.226766988603438</v>
      </c>
    </row>
    <row r="7" s="1" customFormat="1" ht="18.75" customHeight="1" spans="1:34">
      <c r="A7" s="8" t="s">
        <v>329</v>
      </c>
      <c r="B7" s="59"/>
      <c r="C7" s="19">
        <v>5</v>
      </c>
      <c r="D7" s="19" t="s">
        <v>70</v>
      </c>
      <c r="E7" s="19">
        <v>10</v>
      </c>
      <c r="F7" s="19">
        <v>1</v>
      </c>
      <c r="G7" s="19">
        <v>6.2</v>
      </c>
      <c r="H7" s="20">
        <f t="shared" si="5"/>
        <v>1.61290322580645</v>
      </c>
      <c r="I7" s="69">
        <v>90</v>
      </c>
      <c r="J7" s="25">
        <v>0.0022046</v>
      </c>
      <c r="K7" s="69">
        <v>84</v>
      </c>
      <c r="L7" s="70">
        <f t="shared" si="6"/>
        <v>0.084</v>
      </c>
      <c r="M7" s="29">
        <f t="shared" si="8"/>
        <v>0.1851864</v>
      </c>
      <c r="N7" s="30">
        <v>8.07</v>
      </c>
      <c r="O7" s="30">
        <v>7.09</v>
      </c>
      <c r="P7" s="30">
        <v>1</v>
      </c>
      <c r="Q7" s="45">
        <v>0.9484</v>
      </c>
      <c r="R7" s="39"/>
      <c r="S7" s="45">
        <v>2.0383</v>
      </c>
      <c r="T7" s="45"/>
      <c r="U7" s="45"/>
      <c r="V7" s="45"/>
      <c r="W7" s="45"/>
      <c r="X7" s="20">
        <v>4.04</v>
      </c>
      <c r="Y7" s="20">
        <v>0.6</v>
      </c>
      <c r="Z7" s="20">
        <f t="shared" si="0"/>
        <v>6.0783</v>
      </c>
      <c r="AA7" s="38">
        <v>11.99</v>
      </c>
      <c r="AB7" s="81"/>
      <c r="AC7" s="45">
        <f t="shared" si="1"/>
        <v>5.9117</v>
      </c>
      <c r="AD7" s="39">
        <v>0.03</v>
      </c>
      <c r="AE7" s="45">
        <f t="shared" si="2"/>
        <v>5.734349</v>
      </c>
      <c r="AF7" s="20">
        <f t="shared" si="3"/>
        <v>2.57304577419355</v>
      </c>
      <c r="AG7" s="87">
        <f t="shared" si="7"/>
        <v>15.9528838</v>
      </c>
      <c r="AH7" s="51">
        <f t="shared" si="4"/>
        <v>0.214599313944416</v>
      </c>
    </row>
    <row r="8" s="1" customFormat="1" ht="18.75" customHeight="1" spans="1:34">
      <c r="A8" s="8" t="s">
        <v>329</v>
      </c>
      <c r="B8" s="19" t="s">
        <v>334</v>
      </c>
      <c r="C8" s="19">
        <v>3</v>
      </c>
      <c r="D8" s="19" t="s">
        <v>59</v>
      </c>
      <c r="E8" s="19">
        <v>11.5</v>
      </c>
      <c r="F8" s="19">
        <v>1</v>
      </c>
      <c r="G8" s="19">
        <v>6.2</v>
      </c>
      <c r="H8" s="20">
        <f t="shared" si="5"/>
        <v>1.85483870967742</v>
      </c>
      <c r="I8" s="69">
        <v>80</v>
      </c>
      <c r="J8" s="25">
        <v>0.0022046</v>
      </c>
      <c r="K8" s="69">
        <v>80</v>
      </c>
      <c r="L8" s="70">
        <f t="shared" si="6"/>
        <v>0.08</v>
      </c>
      <c r="M8" s="29">
        <f t="shared" si="8"/>
        <v>0.176368</v>
      </c>
      <c r="N8" s="30">
        <v>8.07</v>
      </c>
      <c r="O8" s="30">
        <v>7.09</v>
      </c>
      <c r="P8" s="30">
        <v>1.97</v>
      </c>
      <c r="Q8" s="45">
        <v>0.9032</v>
      </c>
      <c r="R8" s="39"/>
      <c r="S8" s="45">
        <v>2.1913</v>
      </c>
      <c r="T8" s="45"/>
      <c r="U8" s="45"/>
      <c r="V8" s="45"/>
      <c r="W8" s="45"/>
      <c r="X8" s="20">
        <v>4.04</v>
      </c>
      <c r="Y8" s="20">
        <v>0.6</v>
      </c>
      <c r="Z8" s="20">
        <f t="shared" si="0"/>
        <v>6.2313</v>
      </c>
      <c r="AA8" s="38">
        <v>12.89</v>
      </c>
      <c r="AB8" s="80"/>
      <c r="AC8" s="45">
        <f t="shared" si="1"/>
        <v>6.6587</v>
      </c>
      <c r="AD8" s="39">
        <v>0.03</v>
      </c>
      <c r="AE8" s="45">
        <f t="shared" si="2"/>
        <v>6.458939</v>
      </c>
      <c r="AF8" s="20">
        <f t="shared" si="3"/>
        <v>3.10090029032258</v>
      </c>
      <c r="AG8" s="87">
        <f t="shared" si="7"/>
        <v>19.2255818</v>
      </c>
      <c r="AH8" s="51">
        <f t="shared" si="4"/>
        <v>0.240566353011837</v>
      </c>
    </row>
    <row r="9" s="1" customFormat="1" ht="18.75" customHeight="1" spans="1:34">
      <c r="A9" s="8" t="s">
        <v>329</v>
      </c>
      <c r="B9" s="19" t="s">
        <v>334</v>
      </c>
      <c r="C9" s="19">
        <v>4</v>
      </c>
      <c r="D9" s="19" t="s">
        <v>54</v>
      </c>
      <c r="E9" s="19">
        <v>11.5</v>
      </c>
      <c r="F9" s="19">
        <v>1</v>
      </c>
      <c r="G9" s="19">
        <v>6.2</v>
      </c>
      <c r="H9" s="20">
        <f t="shared" si="5"/>
        <v>1.85483870967742</v>
      </c>
      <c r="I9" s="69">
        <v>85</v>
      </c>
      <c r="J9" s="25">
        <v>0.0022046</v>
      </c>
      <c r="K9" s="69">
        <v>85</v>
      </c>
      <c r="L9" s="70">
        <f t="shared" si="6"/>
        <v>0.085</v>
      </c>
      <c r="M9" s="29">
        <f t="shared" si="8"/>
        <v>0.187391</v>
      </c>
      <c r="N9" s="30">
        <v>8.07</v>
      </c>
      <c r="O9" s="30">
        <v>7.09</v>
      </c>
      <c r="P9" s="30">
        <v>1.97</v>
      </c>
      <c r="Q9" s="45">
        <v>0.9597</v>
      </c>
      <c r="R9" s="39"/>
      <c r="S9" s="45">
        <v>2.1913</v>
      </c>
      <c r="T9" s="45"/>
      <c r="U9" s="45"/>
      <c r="V9" s="45"/>
      <c r="W9" s="45"/>
      <c r="X9" s="20">
        <v>4.04</v>
      </c>
      <c r="Y9" s="20">
        <v>0.6</v>
      </c>
      <c r="Z9" s="20">
        <f t="shared" si="0"/>
        <v>6.2313</v>
      </c>
      <c r="AA9" s="38">
        <v>12.89</v>
      </c>
      <c r="AB9" s="80"/>
      <c r="AC9" s="45">
        <f t="shared" si="1"/>
        <v>6.6587</v>
      </c>
      <c r="AD9" s="39">
        <v>0.03</v>
      </c>
      <c r="AE9" s="45">
        <f t="shared" si="2"/>
        <v>6.458939</v>
      </c>
      <c r="AF9" s="20">
        <f t="shared" si="3"/>
        <v>3.04440029032258</v>
      </c>
      <c r="AG9" s="87">
        <f t="shared" si="7"/>
        <v>18.8752818</v>
      </c>
      <c r="AH9" s="51">
        <f t="shared" si="4"/>
        <v>0.236183110187943</v>
      </c>
    </row>
    <row r="10" s="1" customFormat="1" ht="18.75" customHeight="1" spans="1:34">
      <c r="A10" s="8" t="s">
        <v>329</v>
      </c>
      <c r="B10" s="59"/>
      <c r="C10" s="19">
        <v>6</v>
      </c>
      <c r="D10" s="19" t="s">
        <v>87</v>
      </c>
      <c r="E10" s="19">
        <v>28</v>
      </c>
      <c r="F10" s="19">
        <v>1</v>
      </c>
      <c r="G10" s="19">
        <v>6.2</v>
      </c>
      <c r="H10" s="20">
        <f t="shared" si="5"/>
        <v>4.51612903225806</v>
      </c>
      <c r="I10" s="69">
        <v>86</v>
      </c>
      <c r="J10" s="25">
        <v>0.0022046</v>
      </c>
      <c r="K10" s="69">
        <v>86</v>
      </c>
      <c r="L10" s="70">
        <f t="shared" si="6"/>
        <v>0.086</v>
      </c>
      <c r="M10" s="29">
        <f t="shared" si="8"/>
        <v>0.1895956</v>
      </c>
      <c r="N10" s="30">
        <v>8.07</v>
      </c>
      <c r="O10" s="30">
        <v>7.09</v>
      </c>
      <c r="P10" s="30">
        <v>1.97</v>
      </c>
      <c r="Q10" s="45">
        <v>0.971</v>
      </c>
      <c r="R10" s="39"/>
      <c r="S10" s="45">
        <v>3.0583</v>
      </c>
      <c r="T10" s="45"/>
      <c r="U10" s="45"/>
      <c r="V10" s="45"/>
      <c r="W10" s="45"/>
      <c r="X10" s="20">
        <v>4.04</v>
      </c>
      <c r="Y10" s="20">
        <v>0.6</v>
      </c>
      <c r="Z10" s="20">
        <f t="shared" si="0"/>
        <v>7.0983</v>
      </c>
      <c r="AA10" s="38">
        <v>17.99</v>
      </c>
      <c r="AB10" s="80"/>
      <c r="AC10" s="45">
        <f t="shared" si="1"/>
        <v>10.8917</v>
      </c>
      <c r="AD10" s="39">
        <v>0.03</v>
      </c>
      <c r="AE10" s="45">
        <f t="shared" si="2"/>
        <v>10.564949</v>
      </c>
      <c r="AF10" s="20">
        <f t="shared" si="3"/>
        <v>4.47781996774193</v>
      </c>
      <c r="AG10" s="87">
        <f t="shared" si="7"/>
        <v>27.7624838</v>
      </c>
      <c r="AH10" s="51">
        <f t="shared" si="4"/>
        <v>0.248906057128512</v>
      </c>
    </row>
    <row r="13" s="1" customFormat="1" spans="1:3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5" customFormat="1" ht="33" customHeight="1" spans="1:34">
      <c r="A15" s="5" t="s">
        <v>297</v>
      </c>
      <c r="B15" s="5" t="s">
        <v>298</v>
      </c>
      <c r="C15" s="5" t="s">
        <v>299</v>
      </c>
      <c r="D15" s="58" t="s">
        <v>13</v>
      </c>
      <c r="E15" s="58" t="s">
        <v>300</v>
      </c>
      <c r="F15" s="58" t="s">
        <v>154</v>
      </c>
      <c r="G15" s="58" t="s">
        <v>301</v>
      </c>
      <c r="H15" s="5" t="s">
        <v>302</v>
      </c>
      <c r="I15" s="68" t="s">
        <v>303</v>
      </c>
      <c r="J15" s="5" t="s">
        <v>304</v>
      </c>
      <c r="K15" s="68" t="s">
        <v>305</v>
      </c>
      <c r="L15" s="24" t="s">
        <v>306</v>
      </c>
      <c r="M15" s="5" t="s">
        <v>307</v>
      </c>
      <c r="N15" s="5" t="s">
        <v>308</v>
      </c>
      <c r="O15" s="5" t="s">
        <v>309</v>
      </c>
      <c r="P15" s="5" t="s">
        <v>310</v>
      </c>
      <c r="Q15" s="24" t="s">
        <v>311</v>
      </c>
      <c r="R15" s="5" t="s">
        <v>312</v>
      </c>
      <c r="S15" s="5" t="s">
        <v>313</v>
      </c>
      <c r="T15" s="76" t="s">
        <v>314</v>
      </c>
      <c r="U15" s="76" t="s">
        <v>315</v>
      </c>
      <c r="V15" s="76" t="s">
        <v>316</v>
      </c>
      <c r="W15" s="76" t="s">
        <v>317</v>
      </c>
      <c r="X15" s="5" t="s">
        <v>318</v>
      </c>
      <c r="Y15" s="24" t="s">
        <v>319</v>
      </c>
      <c r="Z15" s="24" t="s">
        <v>320</v>
      </c>
      <c r="AA15" s="24" t="s">
        <v>321</v>
      </c>
      <c r="AB15" s="24" t="s">
        <v>322</v>
      </c>
      <c r="AC15" s="5" t="s">
        <v>323</v>
      </c>
      <c r="AD15" s="5" t="s">
        <v>324</v>
      </c>
      <c r="AE15" s="5" t="s">
        <v>325</v>
      </c>
      <c r="AF15" s="5" t="s">
        <v>326</v>
      </c>
      <c r="AG15" s="24" t="s">
        <v>327</v>
      </c>
      <c r="AH15" s="5" t="s">
        <v>328</v>
      </c>
    </row>
    <row r="16" s="1" customFormat="1" ht="18.75" customHeight="1" spans="1:34">
      <c r="A16" s="10" t="s">
        <v>335</v>
      </c>
      <c r="B16" s="19" t="s">
        <v>336</v>
      </c>
      <c r="C16" s="59">
        <v>5</v>
      </c>
      <c r="D16" s="19" t="s">
        <v>126</v>
      </c>
      <c r="E16" s="19">
        <v>30</v>
      </c>
      <c r="F16" s="19">
        <v>1</v>
      </c>
      <c r="G16" s="19">
        <v>4.8</v>
      </c>
      <c r="H16" s="65">
        <f>E16*F16/G16</f>
        <v>6.25</v>
      </c>
      <c r="I16" s="71">
        <v>250</v>
      </c>
      <c r="J16" s="25">
        <v>0.0022046</v>
      </c>
      <c r="K16" s="71">
        <v>250</v>
      </c>
      <c r="L16" s="71">
        <f>K16/1000</f>
        <v>0.25</v>
      </c>
      <c r="M16" s="29">
        <f>K16*J16</f>
        <v>0.55115</v>
      </c>
      <c r="N16" s="30">
        <v>8.07</v>
      </c>
      <c r="O16" s="30">
        <v>7.09</v>
      </c>
      <c r="P16" s="30">
        <v>1.97</v>
      </c>
      <c r="Q16" s="65">
        <f>87/G16/1000*K16</f>
        <v>4.53125</v>
      </c>
      <c r="R16" s="39">
        <v>0.15</v>
      </c>
      <c r="S16" s="19">
        <f>AA16*R16</f>
        <v>4.0485</v>
      </c>
      <c r="T16" s="77">
        <v>1.76</v>
      </c>
      <c r="U16" s="77">
        <f>T16*0.13</f>
        <v>0.2288</v>
      </c>
      <c r="V16" s="77">
        <v>4.4</v>
      </c>
      <c r="W16" s="77">
        <f>V16*0.13</f>
        <v>0.572</v>
      </c>
      <c r="X16" s="77"/>
      <c r="Y16" s="77">
        <v>0.38</v>
      </c>
      <c r="Z16" s="82">
        <f>T16+U16+V16+W16+S16</f>
        <v>11.0093</v>
      </c>
      <c r="AA16" s="77">
        <v>26.99</v>
      </c>
      <c r="AB16" s="19"/>
      <c r="AC16" s="86">
        <f>AA16-Z16</f>
        <v>15.9807</v>
      </c>
      <c r="AD16" s="77">
        <v>0.03</v>
      </c>
      <c r="AE16" s="77">
        <f>AC16*(1-AD16)</f>
        <v>15.501279</v>
      </c>
      <c r="AF16" s="77">
        <f>AE16-Q16-H16-Y16</f>
        <v>4.340029</v>
      </c>
      <c r="AG16" s="50">
        <f>AF16*G16</f>
        <v>20.8321392</v>
      </c>
      <c r="AH16" s="51">
        <f>AF16/AA16</f>
        <v>0.160801370878103</v>
      </c>
    </row>
    <row r="17" s="1" customFormat="1" ht="18.75" customHeight="1" spans="1:34">
      <c r="A17" s="10" t="s">
        <v>335</v>
      </c>
      <c r="B17" s="19" t="s">
        <v>337</v>
      </c>
      <c r="C17" s="59">
        <v>5</v>
      </c>
      <c r="D17" s="19" t="s">
        <v>134</v>
      </c>
      <c r="E17" s="19">
        <v>28</v>
      </c>
      <c r="F17" s="19">
        <v>1</v>
      </c>
      <c r="G17" s="19">
        <v>4.8</v>
      </c>
      <c r="H17" s="65">
        <f>E17*F17/G17</f>
        <v>5.83333333333333</v>
      </c>
      <c r="I17" s="19">
        <v>107</v>
      </c>
      <c r="J17" s="25">
        <v>0.0022046</v>
      </c>
      <c r="K17" s="19">
        <v>107</v>
      </c>
      <c r="L17" s="71">
        <f>K17/1000</f>
        <v>0.107</v>
      </c>
      <c r="M17" s="29">
        <f>K17*J17</f>
        <v>0.2358922</v>
      </c>
      <c r="N17" s="30">
        <v>8.07</v>
      </c>
      <c r="O17" s="30">
        <v>7.09</v>
      </c>
      <c r="P17" s="30">
        <v>1</v>
      </c>
      <c r="Q17" s="65">
        <f>87/G17/1000*K17</f>
        <v>1.939375</v>
      </c>
      <c r="R17" s="39">
        <v>0.15</v>
      </c>
      <c r="S17" s="19">
        <f>AA17*R17</f>
        <v>3.5985</v>
      </c>
      <c r="T17" s="77">
        <v>1.76</v>
      </c>
      <c r="U17" s="77">
        <f>T17*0.13</f>
        <v>0.2288</v>
      </c>
      <c r="V17" s="77">
        <v>4.4</v>
      </c>
      <c r="W17" s="77">
        <f>V17*0.13</f>
        <v>0.572</v>
      </c>
      <c r="X17" s="77"/>
      <c r="Y17" s="77">
        <v>0.38</v>
      </c>
      <c r="Z17" s="82">
        <f>T17+U17+V17+W17+S17</f>
        <v>10.5593</v>
      </c>
      <c r="AA17" s="77">
        <v>23.99</v>
      </c>
      <c r="AB17" s="80"/>
      <c r="AC17" s="86">
        <f>AA17-Z17</f>
        <v>13.4307</v>
      </c>
      <c r="AD17" s="77">
        <v>0.03</v>
      </c>
      <c r="AE17" s="77">
        <f>AC17*(1-AD17)</f>
        <v>13.027779</v>
      </c>
      <c r="AF17" s="77">
        <f>AE17-Q17-H17-Y17</f>
        <v>4.87507066666666</v>
      </c>
      <c r="AG17" s="50">
        <f>AF17*G17</f>
        <v>23.4003392</v>
      </c>
      <c r="AH17" s="51">
        <f>AF17/AA17</f>
        <v>0.203212616367931</v>
      </c>
    </row>
    <row r="21" customFormat="1" ht="33" customHeight="1" spans="1:34">
      <c r="A21" s="5" t="s">
        <v>297</v>
      </c>
      <c r="B21" s="5" t="s">
        <v>298</v>
      </c>
      <c r="C21" s="5" t="s">
        <v>299</v>
      </c>
      <c r="D21" s="58" t="s">
        <v>13</v>
      </c>
      <c r="E21" s="58" t="s">
        <v>300</v>
      </c>
      <c r="F21" s="58" t="s">
        <v>154</v>
      </c>
      <c r="G21" s="58" t="s">
        <v>301</v>
      </c>
      <c r="H21" s="5" t="s">
        <v>302</v>
      </c>
      <c r="I21" s="68" t="s">
        <v>303</v>
      </c>
      <c r="J21" s="5" t="s">
        <v>304</v>
      </c>
      <c r="K21" s="68" t="s">
        <v>305</v>
      </c>
      <c r="L21" s="24" t="s">
        <v>306</v>
      </c>
      <c r="M21" s="5" t="s">
        <v>307</v>
      </c>
      <c r="N21" s="5" t="s">
        <v>308</v>
      </c>
      <c r="O21" s="5" t="s">
        <v>309</v>
      </c>
      <c r="P21" s="5" t="s">
        <v>310</v>
      </c>
      <c r="Q21" s="24" t="s">
        <v>311</v>
      </c>
      <c r="R21" s="5" t="s">
        <v>312</v>
      </c>
      <c r="S21" s="5" t="s">
        <v>313</v>
      </c>
      <c r="T21" s="76" t="s">
        <v>314</v>
      </c>
      <c r="U21" s="76" t="s">
        <v>315</v>
      </c>
      <c r="V21" s="76" t="s">
        <v>316</v>
      </c>
      <c r="W21" s="76" t="s">
        <v>317</v>
      </c>
      <c r="X21" s="5" t="s">
        <v>318</v>
      </c>
      <c r="Y21" s="24" t="s">
        <v>319</v>
      </c>
      <c r="Z21" s="24" t="s">
        <v>320</v>
      </c>
      <c r="AA21" s="24" t="s">
        <v>321</v>
      </c>
      <c r="AB21" s="24" t="s">
        <v>322</v>
      </c>
      <c r="AC21" s="5" t="s">
        <v>323</v>
      </c>
      <c r="AD21" s="5" t="s">
        <v>324</v>
      </c>
      <c r="AE21" s="5" t="s">
        <v>325</v>
      </c>
      <c r="AF21" s="5" t="s">
        <v>326</v>
      </c>
      <c r="AG21" s="24" t="s">
        <v>327</v>
      </c>
      <c r="AH21" s="5" t="s">
        <v>328</v>
      </c>
    </row>
    <row r="22" s="57" customFormat="1" spans="1:34">
      <c r="A22" s="19" t="s">
        <v>338</v>
      </c>
      <c r="B22" s="60" t="s">
        <v>339</v>
      </c>
      <c r="C22" s="60">
        <v>1</v>
      </c>
      <c r="D22" s="61" t="s">
        <v>340</v>
      </c>
      <c r="E22" s="66">
        <v>10.6</v>
      </c>
      <c r="F22" s="60">
        <v>1</v>
      </c>
      <c r="G22" s="60">
        <v>8.5</v>
      </c>
      <c r="H22" s="67">
        <f t="shared" ref="H22:H25" si="9">E22*F22/G22</f>
        <v>1.24705882352941</v>
      </c>
      <c r="I22" s="72">
        <v>45</v>
      </c>
      <c r="J22" s="73">
        <v>0.0022046</v>
      </c>
      <c r="K22" s="72">
        <f>I22*F22</f>
        <v>45</v>
      </c>
      <c r="L22" s="71">
        <f t="shared" ref="L22:L25" si="10">K22/1000</f>
        <v>0.045</v>
      </c>
      <c r="M22" s="74">
        <f t="shared" ref="M22:M25" si="11">K22*J22</f>
        <v>0.099207</v>
      </c>
      <c r="N22" s="75">
        <v>7.09</v>
      </c>
      <c r="O22" s="75">
        <v>5.71</v>
      </c>
      <c r="P22" s="75">
        <v>0.39</v>
      </c>
      <c r="Q22" s="67">
        <f t="shared" ref="Q22:Q25" si="12">91/G22/1000*K22</f>
        <v>0.481764705882353</v>
      </c>
      <c r="R22" s="78">
        <v>0.35</v>
      </c>
      <c r="S22" s="67">
        <f t="shared" ref="S22:S25" si="13">AA22*R22</f>
        <v>2.0965</v>
      </c>
      <c r="T22" s="67"/>
      <c r="U22" s="67"/>
      <c r="V22" s="79">
        <v>1.07</v>
      </c>
      <c r="W22" s="79"/>
      <c r="X22" s="79"/>
      <c r="Y22" s="79"/>
      <c r="Z22" s="67">
        <f t="shared" ref="Z22:Z25" si="14">S22+V22</f>
        <v>3.1665</v>
      </c>
      <c r="AA22" s="83">
        <v>5.99</v>
      </c>
      <c r="AB22" s="83"/>
      <c r="AC22" s="67">
        <f t="shared" ref="AC22:AC25" si="15">AA22-Z22</f>
        <v>2.8235</v>
      </c>
      <c r="AD22" s="78">
        <v>0.03</v>
      </c>
      <c r="AE22" s="67">
        <f t="shared" ref="AE22:AE25" si="16">AC22*(1-AD22)</f>
        <v>2.738795</v>
      </c>
      <c r="AF22" s="67">
        <f t="shared" ref="AF22:AF25" si="17">AE22-H22-Q22</f>
        <v>1.00997147058824</v>
      </c>
      <c r="AG22" s="88">
        <f t="shared" ref="AG22:AG25" si="18">AF22*G22</f>
        <v>8.5847575</v>
      </c>
      <c r="AH22" s="89">
        <f t="shared" ref="AH22:AH25" si="19">AF22/AA22</f>
        <v>0.168609594422076</v>
      </c>
    </row>
    <row r="23" s="57" customFormat="1" spans="1:34">
      <c r="A23" s="19" t="s">
        <v>338</v>
      </c>
      <c r="B23" s="60" t="s">
        <v>339</v>
      </c>
      <c r="C23" s="60">
        <v>2</v>
      </c>
      <c r="D23" s="60" t="s">
        <v>341</v>
      </c>
      <c r="E23" s="66">
        <v>10.6</v>
      </c>
      <c r="F23" s="60">
        <v>1</v>
      </c>
      <c r="G23" s="60">
        <v>8.5</v>
      </c>
      <c r="H23" s="67">
        <f t="shared" si="9"/>
        <v>1.24705882352941</v>
      </c>
      <c r="I23" s="72">
        <v>45</v>
      </c>
      <c r="J23" s="73">
        <v>0.0022046</v>
      </c>
      <c r="K23" s="72">
        <f>I23*F23</f>
        <v>45</v>
      </c>
      <c r="L23" s="71">
        <f t="shared" si="10"/>
        <v>0.045</v>
      </c>
      <c r="M23" s="74">
        <f t="shared" si="11"/>
        <v>0.099207</v>
      </c>
      <c r="N23" s="75">
        <v>5.51</v>
      </c>
      <c r="O23" s="75">
        <v>5.12</v>
      </c>
      <c r="P23" s="75">
        <v>0.39</v>
      </c>
      <c r="Q23" s="67">
        <f t="shared" si="12"/>
        <v>0.481764705882353</v>
      </c>
      <c r="R23" s="78">
        <v>0.35</v>
      </c>
      <c r="S23" s="67">
        <f t="shared" si="13"/>
        <v>2.0965</v>
      </c>
      <c r="T23" s="67"/>
      <c r="U23" s="67"/>
      <c r="V23" s="79">
        <v>1.07</v>
      </c>
      <c r="W23" s="79"/>
      <c r="X23" s="79"/>
      <c r="Y23" s="79"/>
      <c r="Z23" s="67">
        <f t="shared" si="14"/>
        <v>3.1665</v>
      </c>
      <c r="AA23" s="83">
        <v>5.99</v>
      </c>
      <c r="AB23" s="83"/>
      <c r="AC23" s="67">
        <f t="shared" si="15"/>
        <v>2.8235</v>
      </c>
      <c r="AD23" s="78">
        <v>0.03</v>
      </c>
      <c r="AE23" s="67">
        <f t="shared" si="16"/>
        <v>2.738795</v>
      </c>
      <c r="AF23" s="67">
        <f t="shared" si="17"/>
        <v>1.00997147058824</v>
      </c>
      <c r="AG23" s="88">
        <f t="shared" si="18"/>
        <v>8.5847575</v>
      </c>
      <c r="AH23" s="89">
        <f t="shared" si="19"/>
        <v>0.168609594422076</v>
      </c>
    </row>
    <row r="24" s="57" customFormat="1" spans="1:34">
      <c r="A24" s="19" t="s">
        <v>338</v>
      </c>
      <c r="B24" s="60" t="s">
        <v>342</v>
      </c>
      <c r="C24" s="60">
        <v>1</v>
      </c>
      <c r="D24" s="60" t="s">
        <v>343</v>
      </c>
      <c r="E24" s="66">
        <v>8.85</v>
      </c>
      <c r="F24" s="60">
        <v>1</v>
      </c>
      <c r="G24" s="60">
        <v>8.5</v>
      </c>
      <c r="H24" s="67">
        <f t="shared" si="9"/>
        <v>1.04117647058824</v>
      </c>
      <c r="I24" s="72">
        <v>70</v>
      </c>
      <c r="J24" s="73">
        <v>0.0022046</v>
      </c>
      <c r="K24" s="72">
        <v>70</v>
      </c>
      <c r="L24" s="71">
        <f t="shared" si="10"/>
        <v>0.07</v>
      </c>
      <c r="M24" s="74">
        <f t="shared" si="11"/>
        <v>0.154322</v>
      </c>
      <c r="N24" s="75">
        <v>9.06</v>
      </c>
      <c r="O24" s="75">
        <v>7.09</v>
      </c>
      <c r="P24" s="75">
        <v>0.79</v>
      </c>
      <c r="Q24" s="67">
        <f t="shared" si="12"/>
        <v>0.749411764705882</v>
      </c>
      <c r="R24" s="78">
        <v>0.35</v>
      </c>
      <c r="S24" s="67">
        <f t="shared" si="13"/>
        <v>2.7965</v>
      </c>
      <c r="T24" s="67"/>
      <c r="U24" s="67"/>
      <c r="V24" s="79">
        <v>2.07</v>
      </c>
      <c r="W24" s="79"/>
      <c r="X24" s="79"/>
      <c r="Y24" s="79"/>
      <c r="Z24" s="67">
        <f t="shared" si="14"/>
        <v>4.8665</v>
      </c>
      <c r="AA24" s="83">
        <v>7.99</v>
      </c>
      <c r="AB24" s="83"/>
      <c r="AC24" s="67">
        <f t="shared" si="15"/>
        <v>3.1235</v>
      </c>
      <c r="AD24" s="78">
        <v>0.03</v>
      </c>
      <c r="AE24" s="67">
        <f t="shared" si="16"/>
        <v>3.029795</v>
      </c>
      <c r="AF24" s="67">
        <f t="shared" si="17"/>
        <v>1.23920676470588</v>
      </c>
      <c r="AG24" s="88">
        <f t="shared" si="18"/>
        <v>10.5332575</v>
      </c>
      <c r="AH24" s="89">
        <f t="shared" si="19"/>
        <v>0.155094713980711</v>
      </c>
    </row>
    <row r="25" s="57" customFormat="1" spans="1:34">
      <c r="A25" s="19" t="s">
        <v>338</v>
      </c>
      <c r="B25" s="60" t="s">
        <v>342</v>
      </c>
      <c r="C25" s="60">
        <v>2</v>
      </c>
      <c r="D25" s="60" t="s">
        <v>344</v>
      </c>
      <c r="E25" s="66">
        <v>17.2</v>
      </c>
      <c r="F25" s="60">
        <v>1</v>
      </c>
      <c r="G25" s="60">
        <v>8.5</v>
      </c>
      <c r="H25" s="67">
        <f t="shared" si="9"/>
        <v>2.02352941176471</v>
      </c>
      <c r="I25" s="72">
        <v>110</v>
      </c>
      <c r="J25" s="73">
        <v>0.0022046</v>
      </c>
      <c r="K25" s="72">
        <v>110</v>
      </c>
      <c r="L25" s="71">
        <f t="shared" si="10"/>
        <v>0.11</v>
      </c>
      <c r="M25" s="74">
        <f t="shared" si="11"/>
        <v>0.242506</v>
      </c>
      <c r="N25" s="75">
        <v>9.07</v>
      </c>
      <c r="O25" s="75">
        <v>7.09</v>
      </c>
      <c r="P25" s="75">
        <v>1.18</v>
      </c>
      <c r="Q25" s="67">
        <f t="shared" si="12"/>
        <v>1.17764705882353</v>
      </c>
      <c r="R25" s="78">
        <v>0.35</v>
      </c>
      <c r="S25" s="67">
        <f t="shared" si="13"/>
        <v>3.8465</v>
      </c>
      <c r="T25" s="67"/>
      <c r="U25" s="67"/>
      <c r="V25" s="79">
        <v>3.07</v>
      </c>
      <c r="W25" s="79"/>
      <c r="X25" s="79"/>
      <c r="Y25" s="79"/>
      <c r="Z25" s="67">
        <f t="shared" si="14"/>
        <v>6.9165</v>
      </c>
      <c r="AA25" s="83">
        <v>10.99</v>
      </c>
      <c r="AB25" s="83"/>
      <c r="AC25" s="67">
        <f t="shared" si="15"/>
        <v>4.0735</v>
      </c>
      <c r="AD25" s="78">
        <v>0.03</v>
      </c>
      <c r="AE25" s="67">
        <f t="shared" si="16"/>
        <v>3.951295</v>
      </c>
      <c r="AF25" s="67">
        <f t="shared" si="17"/>
        <v>0.750118529411766</v>
      </c>
      <c r="AG25" s="88">
        <f t="shared" si="18"/>
        <v>6.37600750000001</v>
      </c>
      <c r="AH25" s="89">
        <f t="shared" si="19"/>
        <v>0.0682546432585774</v>
      </c>
    </row>
    <row r="31" customFormat="1" ht="33" customHeight="1" spans="1:34">
      <c r="A31" s="5" t="s">
        <v>297</v>
      </c>
      <c r="B31" s="5" t="s">
        <v>298</v>
      </c>
      <c r="C31" s="5" t="s">
        <v>299</v>
      </c>
      <c r="D31" s="58" t="s">
        <v>13</v>
      </c>
      <c r="E31" s="58" t="s">
        <v>300</v>
      </c>
      <c r="F31" s="58" t="s">
        <v>154</v>
      </c>
      <c r="G31" s="58" t="s">
        <v>301</v>
      </c>
      <c r="H31" s="5" t="s">
        <v>302</v>
      </c>
      <c r="I31" s="68" t="s">
        <v>303</v>
      </c>
      <c r="J31" s="5" t="s">
        <v>304</v>
      </c>
      <c r="K31" s="68" t="s">
        <v>305</v>
      </c>
      <c r="L31" s="24" t="s">
        <v>306</v>
      </c>
      <c r="M31" s="5" t="s">
        <v>307</v>
      </c>
      <c r="N31" s="5" t="s">
        <v>308</v>
      </c>
      <c r="O31" s="5" t="s">
        <v>309</v>
      </c>
      <c r="P31" s="5" t="s">
        <v>310</v>
      </c>
      <c r="Q31" s="24" t="s">
        <v>311</v>
      </c>
      <c r="R31" s="5" t="s">
        <v>312</v>
      </c>
      <c r="S31" s="5" t="s">
        <v>313</v>
      </c>
      <c r="T31" s="76" t="s">
        <v>314</v>
      </c>
      <c r="U31" s="76" t="s">
        <v>315</v>
      </c>
      <c r="V31" s="76" t="s">
        <v>316</v>
      </c>
      <c r="W31" s="76" t="s">
        <v>317</v>
      </c>
      <c r="X31" s="5" t="s">
        <v>318</v>
      </c>
      <c r="Y31" s="24" t="s">
        <v>319</v>
      </c>
      <c r="Z31" s="24" t="s">
        <v>320</v>
      </c>
      <c r="AA31" s="24" t="s">
        <v>321</v>
      </c>
      <c r="AB31" s="24" t="s">
        <v>322</v>
      </c>
      <c r="AC31" s="5" t="s">
        <v>323</v>
      </c>
      <c r="AD31" s="5" t="s">
        <v>324</v>
      </c>
      <c r="AE31" s="5" t="s">
        <v>325</v>
      </c>
      <c r="AF31" s="5" t="s">
        <v>326</v>
      </c>
      <c r="AG31" s="24" t="s">
        <v>327</v>
      </c>
      <c r="AH31" s="5" t="s">
        <v>328</v>
      </c>
    </row>
    <row r="32" s="4" customFormat="1" spans="1:34">
      <c r="A32" s="62" t="s">
        <v>345</v>
      </c>
      <c r="B32" s="63"/>
      <c r="C32" s="16">
        <v>2</v>
      </c>
      <c r="D32" s="19" t="s">
        <v>190</v>
      </c>
      <c r="E32" s="16">
        <v>56.8</v>
      </c>
      <c r="F32" s="16">
        <v>1</v>
      </c>
      <c r="G32" s="16">
        <v>0.056</v>
      </c>
      <c r="H32" s="23">
        <f t="shared" ref="H32:H36" si="20">E32*F32/G32</f>
        <v>1014.28571428571</v>
      </c>
      <c r="I32" s="23"/>
      <c r="J32" s="23"/>
      <c r="K32" s="19">
        <v>306</v>
      </c>
      <c r="L32" s="71">
        <f t="shared" ref="L32:L36" si="21">K32/1000</f>
        <v>0.306</v>
      </c>
      <c r="M32" s="19"/>
      <c r="N32" s="32">
        <v>20</v>
      </c>
      <c r="O32" s="32">
        <v>18</v>
      </c>
      <c r="P32" s="32">
        <v>5</v>
      </c>
      <c r="Q32" s="37">
        <f t="shared" ref="Q32:Q36" si="22">64/G32/1000*K32</f>
        <v>349.714285714286</v>
      </c>
      <c r="R32" s="16">
        <v>0.23</v>
      </c>
      <c r="S32" s="37">
        <f t="shared" ref="S32:S36" si="23">AA32*R32</f>
        <v>758.77</v>
      </c>
      <c r="T32" s="37"/>
      <c r="U32" s="37"/>
      <c r="V32" s="37"/>
      <c r="W32" s="37"/>
      <c r="X32" s="37">
        <v>421</v>
      </c>
      <c r="Y32" s="37">
        <v>70</v>
      </c>
      <c r="Z32" s="37">
        <f t="shared" ref="Z32:Z36" si="24">X32+S32</f>
        <v>1179.77</v>
      </c>
      <c r="AA32" s="84">
        <v>3299</v>
      </c>
      <c r="AB32" s="84"/>
      <c r="AC32" s="37">
        <f t="shared" ref="AC32:AC36" si="25">AA32-Z32</f>
        <v>2119.23</v>
      </c>
      <c r="AD32" s="44">
        <v>0.03</v>
      </c>
      <c r="AE32" s="37">
        <f t="shared" ref="AE32:AE36" si="26">AC32*(1-AD32)</f>
        <v>2055.6531</v>
      </c>
      <c r="AF32" s="37">
        <f t="shared" ref="AF32:AF36" si="27">AE32-H32-Q32-Y32</f>
        <v>621.6531</v>
      </c>
      <c r="AG32" s="37">
        <f t="shared" ref="AG32:AG36" si="28">AF32*G32</f>
        <v>34.8125736</v>
      </c>
      <c r="AH32" s="55">
        <f t="shared" ref="AH32:AH36" si="29">AF32/AA32</f>
        <v>0.188436829342225</v>
      </c>
    </row>
    <row r="33" s="4" customFormat="1" spans="1:34">
      <c r="A33" s="62" t="s">
        <v>345</v>
      </c>
      <c r="B33" s="63"/>
      <c r="C33" s="16">
        <v>4</v>
      </c>
      <c r="D33" s="19" t="s">
        <v>196</v>
      </c>
      <c r="E33" s="16">
        <v>56.8</v>
      </c>
      <c r="F33" s="16">
        <v>1</v>
      </c>
      <c r="G33" s="16">
        <v>0.056</v>
      </c>
      <c r="H33" s="23">
        <f t="shared" si="20"/>
        <v>1014.28571428571</v>
      </c>
      <c r="I33" s="23"/>
      <c r="J33" s="23"/>
      <c r="K33" s="19">
        <v>376</v>
      </c>
      <c r="L33" s="71">
        <f t="shared" si="21"/>
        <v>0.376</v>
      </c>
      <c r="M33" s="19"/>
      <c r="N33" s="32">
        <v>20</v>
      </c>
      <c r="O33" s="32">
        <v>18</v>
      </c>
      <c r="P33" s="32">
        <v>5</v>
      </c>
      <c r="Q33" s="37">
        <f t="shared" si="22"/>
        <v>429.714285714286</v>
      </c>
      <c r="R33" s="16">
        <v>0.23</v>
      </c>
      <c r="S33" s="37">
        <f t="shared" si="23"/>
        <v>758.77</v>
      </c>
      <c r="T33" s="37"/>
      <c r="U33" s="37"/>
      <c r="V33" s="37"/>
      <c r="W33" s="37"/>
      <c r="X33" s="37">
        <v>421</v>
      </c>
      <c r="Y33" s="37">
        <v>70</v>
      </c>
      <c r="Z33" s="37">
        <f t="shared" si="24"/>
        <v>1179.77</v>
      </c>
      <c r="AA33" s="84">
        <v>3299</v>
      </c>
      <c r="AB33" s="84"/>
      <c r="AC33" s="37">
        <f t="shared" si="25"/>
        <v>2119.23</v>
      </c>
      <c r="AD33" s="44">
        <v>0.03</v>
      </c>
      <c r="AE33" s="37">
        <f t="shared" si="26"/>
        <v>2055.6531</v>
      </c>
      <c r="AF33" s="37">
        <f t="shared" si="27"/>
        <v>541.6531</v>
      </c>
      <c r="AG33" s="37">
        <f t="shared" si="28"/>
        <v>30.3325736</v>
      </c>
      <c r="AH33" s="55">
        <f t="shared" si="29"/>
        <v>0.164187056683844</v>
      </c>
    </row>
    <row r="34" s="4" customFormat="1" spans="1:34">
      <c r="A34" s="62" t="s">
        <v>345</v>
      </c>
      <c r="B34" s="63"/>
      <c r="C34" s="16">
        <v>5</v>
      </c>
      <c r="D34" s="19" t="s">
        <v>213</v>
      </c>
      <c r="E34" s="16">
        <v>56.8</v>
      </c>
      <c r="F34" s="16">
        <v>1</v>
      </c>
      <c r="G34" s="16">
        <v>0.056</v>
      </c>
      <c r="H34" s="23">
        <f t="shared" si="20"/>
        <v>1014.28571428571</v>
      </c>
      <c r="I34" s="23"/>
      <c r="J34" s="23"/>
      <c r="K34" s="19">
        <v>398</v>
      </c>
      <c r="L34" s="71">
        <f t="shared" si="21"/>
        <v>0.398</v>
      </c>
      <c r="M34" s="19"/>
      <c r="N34" s="32">
        <v>20</v>
      </c>
      <c r="O34" s="32">
        <v>18</v>
      </c>
      <c r="P34" s="32">
        <v>5</v>
      </c>
      <c r="Q34" s="37">
        <f t="shared" si="22"/>
        <v>454.857142857143</v>
      </c>
      <c r="R34" s="16">
        <v>0.23</v>
      </c>
      <c r="S34" s="37">
        <f t="shared" si="23"/>
        <v>758.77</v>
      </c>
      <c r="T34" s="37"/>
      <c r="U34" s="37"/>
      <c r="V34" s="37"/>
      <c r="W34" s="37"/>
      <c r="X34" s="37">
        <v>421</v>
      </c>
      <c r="Y34" s="37">
        <v>70</v>
      </c>
      <c r="Z34" s="37">
        <f t="shared" si="24"/>
        <v>1179.77</v>
      </c>
      <c r="AA34" s="84">
        <v>3299</v>
      </c>
      <c r="AB34" s="84"/>
      <c r="AC34" s="37">
        <f t="shared" si="25"/>
        <v>2119.23</v>
      </c>
      <c r="AD34" s="44">
        <v>0.03</v>
      </c>
      <c r="AE34" s="37">
        <f t="shared" si="26"/>
        <v>2055.6531</v>
      </c>
      <c r="AF34" s="37">
        <f t="shared" si="27"/>
        <v>516.510242857143</v>
      </c>
      <c r="AG34" s="37">
        <f t="shared" si="28"/>
        <v>28.9245736</v>
      </c>
      <c r="AH34" s="55">
        <f t="shared" si="29"/>
        <v>0.156565699562638</v>
      </c>
    </row>
    <row r="35" s="4" customFormat="1" spans="1:34">
      <c r="A35" s="62" t="s">
        <v>345</v>
      </c>
      <c r="B35" s="59"/>
      <c r="C35" s="16">
        <v>3</v>
      </c>
      <c r="D35" s="19" t="s">
        <v>207</v>
      </c>
      <c r="E35" s="16">
        <v>18</v>
      </c>
      <c r="F35" s="16">
        <v>1</v>
      </c>
      <c r="G35" s="16">
        <v>0.056</v>
      </c>
      <c r="H35" s="23">
        <f t="shared" si="20"/>
        <v>321.428571428571</v>
      </c>
      <c r="I35" s="23"/>
      <c r="J35" s="23"/>
      <c r="K35" s="19">
        <v>106</v>
      </c>
      <c r="L35" s="71">
        <f t="shared" si="21"/>
        <v>0.106</v>
      </c>
      <c r="M35" s="19"/>
      <c r="N35" s="16">
        <v>20</v>
      </c>
      <c r="O35" s="16">
        <v>18</v>
      </c>
      <c r="P35" s="16">
        <v>5</v>
      </c>
      <c r="Q35" s="37">
        <f t="shared" si="22"/>
        <v>121.142857142857</v>
      </c>
      <c r="R35" s="16">
        <v>0.23</v>
      </c>
      <c r="S35" s="37">
        <f t="shared" si="23"/>
        <v>252.77</v>
      </c>
      <c r="T35" s="37"/>
      <c r="U35" s="37"/>
      <c r="V35" s="37"/>
      <c r="W35" s="37"/>
      <c r="X35" s="37">
        <v>421</v>
      </c>
      <c r="Y35" s="37">
        <v>70</v>
      </c>
      <c r="Z35" s="37">
        <f t="shared" si="24"/>
        <v>673.77</v>
      </c>
      <c r="AA35" s="84">
        <v>1099</v>
      </c>
      <c r="AB35" s="84"/>
      <c r="AC35" s="37">
        <f t="shared" si="25"/>
        <v>425.23</v>
      </c>
      <c r="AD35" s="44">
        <v>0.03</v>
      </c>
      <c r="AE35" s="37">
        <f t="shared" si="26"/>
        <v>412.4731</v>
      </c>
      <c r="AF35" s="37">
        <f t="shared" si="27"/>
        <v>-100.098328571429</v>
      </c>
      <c r="AG35" s="37">
        <f t="shared" si="28"/>
        <v>-5.6055064</v>
      </c>
      <c r="AH35" s="55">
        <f t="shared" si="29"/>
        <v>-0.0910812816846484</v>
      </c>
    </row>
    <row r="36" s="4" customFormat="1" spans="1:34">
      <c r="A36" s="62" t="s">
        <v>345</v>
      </c>
      <c r="B36" s="64"/>
      <c r="C36" s="16">
        <v>1</v>
      </c>
      <c r="D36" s="19" t="s">
        <v>201</v>
      </c>
      <c r="E36" s="16">
        <v>24</v>
      </c>
      <c r="F36" s="16">
        <v>1</v>
      </c>
      <c r="G36" s="16">
        <v>0.056</v>
      </c>
      <c r="H36" s="23">
        <f t="shared" si="20"/>
        <v>428.571428571429</v>
      </c>
      <c r="I36" s="23"/>
      <c r="J36" s="23"/>
      <c r="K36" s="19">
        <v>122</v>
      </c>
      <c r="L36" s="71">
        <f t="shared" si="21"/>
        <v>0.122</v>
      </c>
      <c r="M36" s="19"/>
      <c r="N36" s="16">
        <v>20</v>
      </c>
      <c r="O36" s="16">
        <v>18</v>
      </c>
      <c r="P36" s="16">
        <v>5</v>
      </c>
      <c r="Q36" s="37">
        <f t="shared" si="22"/>
        <v>139.428571428571</v>
      </c>
      <c r="R36" s="16">
        <v>0.23</v>
      </c>
      <c r="S36" s="37">
        <f t="shared" si="23"/>
        <v>434.47</v>
      </c>
      <c r="T36" s="37"/>
      <c r="U36" s="37"/>
      <c r="V36" s="37"/>
      <c r="W36" s="37"/>
      <c r="X36" s="37">
        <v>421</v>
      </c>
      <c r="Y36" s="37">
        <v>70</v>
      </c>
      <c r="Z36" s="37">
        <f t="shared" si="24"/>
        <v>855.47</v>
      </c>
      <c r="AA36" s="84">
        <v>1889</v>
      </c>
      <c r="AB36" s="84"/>
      <c r="AC36" s="37">
        <f t="shared" si="25"/>
        <v>1033.53</v>
      </c>
      <c r="AD36" s="44">
        <v>0.03</v>
      </c>
      <c r="AE36" s="37">
        <f t="shared" si="26"/>
        <v>1002.5241</v>
      </c>
      <c r="AF36" s="37">
        <f t="shared" si="27"/>
        <v>364.5241</v>
      </c>
      <c r="AG36" s="37">
        <f t="shared" si="28"/>
        <v>20.4133496</v>
      </c>
      <c r="AH36" s="55">
        <f t="shared" si="29"/>
        <v>0.192971995764955</v>
      </c>
    </row>
  </sheetData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5"/>
  <sheetViews>
    <sheetView workbookViewId="0">
      <pane ySplit="1" topLeftCell="A2" activePane="bottomLeft" state="frozen"/>
      <selection/>
      <selection pane="bottomLeft" activeCell="E3" sqref="E3"/>
    </sheetView>
  </sheetViews>
  <sheetFormatPr defaultColWidth="9" defaultRowHeight="16.8"/>
  <cols>
    <col min="1" max="1" width="7.875" customWidth="1"/>
    <col min="2" max="2" width="10.5" customWidth="1"/>
    <col min="3" max="3" width="5" customWidth="1"/>
    <col min="4" max="7" width="6.625" customWidth="1"/>
    <col min="8" max="8" width="10.375" customWidth="1"/>
    <col min="9" max="9" width="4.25" customWidth="1"/>
    <col min="10" max="10" width="3.875" customWidth="1"/>
    <col min="11" max="11" width="6.875" customWidth="1"/>
    <col min="12" max="12" width="5.375" customWidth="1"/>
    <col min="13" max="15" width="4.375" customWidth="1"/>
    <col min="16" max="16" width="3.5" customWidth="1"/>
    <col min="17" max="19" width="8" customWidth="1"/>
    <col min="22" max="23" width="4.375" customWidth="1"/>
    <col min="24" max="25" width="4.875" customWidth="1"/>
    <col min="26" max="26" width="7.875" customWidth="1"/>
    <col min="27" max="27" width="8.25" customWidth="1"/>
    <col min="28" max="28" width="6" customWidth="1"/>
    <col min="29" max="29" width="8.875" customWidth="1"/>
    <col min="30" max="30" width="8.25" customWidth="1"/>
  </cols>
  <sheetData>
    <row r="1" ht="68" spans="1:34">
      <c r="A1" s="5" t="s">
        <v>297</v>
      </c>
      <c r="B1" s="6" t="s">
        <v>298</v>
      </c>
      <c r="C1" s="6" t="s">
        <v>299</v>
      </c>
      <c r="D1" s="7" t="s">
        <v>13</v>
      </c>
      <c r="E1" s="7" t="s">
        <v>300</v>
      </c>
      <c r="F1" s="7" t="s">
        <v>154</v>
      </c>
      <c r="G1" s="7" t="s">
        <v>301</v>
      </c>
      <c r="H1" s="5" t="s">
        <v>302</v>
      </c>
      <c r="I1" s="6" t="s">
        <v>303</v>
      </c>
      <c r="J1" s="6" t="s">
        <v>304</v>
      </c>
      <c r="K1" s="6" t="s">
        <v>305</v>
      </c>
      <c r="L1" s="24" t="s">
        <v>306</v>
      </c>
      <c r="M1" s="6" t="s">
        <v>307</v>
      </c>
      <c r="N1" s="6" t="s">
        <v>346</v>
      </c>
      <c r="O1" s="6" t="s">
        <v>309</v>
      </c>
      <c r="P1" s="6" t="s">
        <v>310</v>
      </c>
      <c r="Q1" s="33" t="s">
        <v>347</v>
      </c>
      <c r="R1" s="34" t="s">
        <v>348</v>
      </c>
      <c r="S1" s="34" t="s">
        <v>349</v>
      </c>
      <c r="T1" s="34" t="s">
        <v>350</v>
      </c>
      <c r="U1" s="24" t="s">
        <v>321</v>
      </c>
      <c r="V1" s="24" t="s">
        <v>322</v>
      </c>
      <c r="W1" s="6" t="s">
        <v>351</v>
      </c>
      <c r="X1" s="6" t="s">
        <v>312</v>
      </c>
      <c r="Y1" s="6" t="s">
        <v>324</v>
      </c>
      <c r="Z1" s="6" t="s">
        <v>352</v>
      </c>
      <c r="AA1" s="6" t="s">
        <v>353</v>
      </c>
      <c r="AB1" s="6" t="s">
        <v>354</v>
      </c>
      <c r="AC1" s="6" t="s">
        <v>355</v>
      </c>
      <c r="AD1" s="24" t="s">
        <v>356</v>
      </c>
      <c r="AE1" s="48" t="s">
        <v>357</v>
      </c>
      <c r="AF1" s="49" t="s">
        <v>358</v>
      </c>
      <c r="AG1" s="49" t="s">
        <v>359</v>
      </c>
      <c r="AH1" s="56"/>
    </row>
    <row r="2" s="1" customFormat="1" ht="18.75" customHeight="1" spans="1:34">
      <c r="A2" s="8" t="s">
        <v>360</v>
      </c>
      <c r="B2" s="9" t="s">
        <v>361</v>
      </c>
      <c r="C2" s="9">
        <v>3</v>
      </c>
      <c r="D2" s="9" t="s">
        <v>116</v>
      </c>
      <c r="E2" s="19">
        <v>25.7</v>
      </c>
      <c r="F2" s="19">
        <v>1</v>
      </c>
      <c r="G2" s="19">
        <v>6.2</v>
      </c>
      <c r="H2" s="20">
        <f>E2*F2/G2</f>
        <v>4.14516129032258</v>
      </c>
      <c r="I2" s="19">
        <v>70</v>
      </c>
      <c r="J2" s="25">
        <v>0.0022046</v>
      </c>
      <c r="K2" s="19">
        <v>70</v>
      </c>
      <c r="L2" s="19">
        <f>K2/1000</f>
        <v>0.07</v>
      </c>
      <c r="M2" s="29">
        <f>K2*J2</f>
        <v>0.154322</v>
      </c>
      <c r="N2" s="30">
        <v>8.07</v>
      </c>
      <c r="O2" s="30">
        <v>7.09</v>
      </c>
      <c r="P2" s="30">
        <v>1.97</v>
      </c>
      <c r="Q2" s="20">
        <f>(K2*0.09+10)/G2</f>
        <v>2.62903225806452</v>
      </c>
      <c r="R2" s="20">
        <f>1.78+6.84*M2</f>
        <v>2.83556248</v>
      </c>
      <c r="S2" s="20">
        <f>(96.72*1.17)/G2</f>
        <v>18.252</v>
      </c>
      <c r="T2" s="20">
        <f>16.56+8.9*M2</f>
        <v>17.9334658</v>
      </c>
      <c r="U2" s="38">
        <v>15.99</v>
      </c>
      <c r="V2" s="38" t="s">
        <v>362</v>
      </c>
      <c r="W2" s="38"/>
      <c r="X2" s="39">
        <v>0.17</v>
      </c>
      <c r="Y2" s="39">
        <v>0.03</v>
      </c>
      <c r="Z2" s="45">
        <f>(R2+U2)*(1-X2)*(1-Y2)</f>
        <v>15.156460352648</v>
      </c>
      <c r="AA2" s="20">
        <f>(T2+U2)*(1-X2)*(1-Y2)</f>
        <v>27.31178231558</v>
      </c>
      <c r="AB2" s="20">
        <f>Z2-R2-H2</f>
        <v>8.17573658232542</v>
      </c>
      <c r="AC2" s="20">
        <f>AA2-S2-H2</f>
        <v>4.91462102525742</v>
      </c>
      <c r="AD2" s="50">
        <f>AB2*G2</f>
        <v>50.6895668104176</v>
      </c>
      <c r="AE2" s="50"/>
      <c r="AF2" s="51">
        <f>AB2/U2</f>
        <v>0.51130310083336</v>
      </c>
      <c r="AG2" s="51">
        <f>AC2/U2</f>
        <v>0.307355911523291</v>
      </c>
      <c r="AH2" s="57"/>
    </row>
    <row r="8" ht="68" spans="1:33">
      <c r="A8" s="5" t="s">
        <v>297</v>
      </c>
      <c r="B8" s="6" t="s">
        <v>298</v>
      </c>
      <c r="C8" s="6" t="s">
        <v>299</v>
      </c>
      <c r="D8" s="7" t="s">
        <v>13</v>
      </c>
      <c r="E8" s="7" t="s">
        <v>300</v>
      </c>
      <c r="F8" s="7" t="s">
        <v>154</v>
      </c>
      <c r="G8" s="7" t="s">
        <v>301</v>
      </c>
      <c r="H8" s="5" t="s">
        <v>302</v>
      </c>
      <c r="I8" s="6" t="s">
        <v>303</v>
      </c>
      <c r="J8" s="6" t="s">
        <v>304</v>
      </c>
      <c r="K8" s="6" t="s">
        <v>305</v>
      </c>
      <c r="L8" s="24" t="s">
        <v>306</v>
      </c>
      <c r="M8" s="6" t="s">
        <v>307</v>
      </c>
      <c r="N8" s="6" t="s">
        <v>346</v>
      </c>
      <c r="O8" s="6" t="s">
        <v>309</v>
      </c>
      <c r="P8" s="6" t="s">
        <v>310</v>
      </c>
      <c r="Q8" s="33" t="s">
        <v>347</v>
      </c>
      <c r="R8" s="34" t="s">
        <v>348</v>
      </c>
      <c r="S8" s="34" t="s">
        <v>349</v>
      </c>
      <c r="T8" s="34" t="s">
        <v>350</v>
      </c>
      <c r="U8" s="24" t="s">
        <v>321</v>
      </c>
      <c r="V8" s="24" t="s">
        <v>322</v>
      </c>
      <c r="W8" s="6" t="s">
        <v>351</v>
      </c>
      <c r="X8" s="6" t="s">
        <v>312</v>
      </c>
      <c r="Y8" s="6" t="s">
        <v>324</v>
      </c>
      <c r="Z8" s="6" t="s">
        <v>352</v>
      </c>
      <c r="AA8" s="6" t="s">
        <v>353</v>
      </c>
      <c r="AB8" s="6" t="s">
        <v>354</v>
      </c>
      <c r="AC8" s="6" t="s">
        <v>355</v>
      </c>
      <c r="AD8" s="24" t="s">
        <v>356</v>
      </c>
      <c r="AE8" s="48" t="s">
        <v>357</v>
      </c>
      <c r="AF8" s="49" t="s">
        <v>358</v>
      </c>
      <c r="AG8" s="49" t="s">
        <v>359</v>
      </c>
    </row>
    <row r="9" spans="1:33">
      <c r="A9" s="10" t="s">
        <v>363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3" customFormat="1" ht="68" spans="1:33">
      <c r="A13" s="5" t="s">
        <v>297</v>
      </c>
      <c r="B13" s="6" t="s">
        <v>298</v>
      </c>
      <c r="C13" s="6" t="s">
        <v>299</v>
      </c>
      <c r="D13" s="7" t="s">
        <v>13</v>
      </c>
      <c r="E13" s="7" t="s">
        <v>300</v>
      </c>
      <c r="F13" s="7" t="s">
        <v>154</v>
      </c>
      <c r="G13" s="7" t="s">
        <v>301</v>
      </c>
      <c r="H13" s="5" t="s">
        <v>302</v>
      </c>
      <c r="I13" s="6" t="s">
        <v>303</v>
      </c>
      <c r="J13" s="6" t="s">
        <v>304</v>
      </c>
      <c r="K13" s="6" t="s">
        <v>305</v>
      </c>
      <c r="L13" s="24" t="s">
        <v>306</v>
      </c>
      <c r="M13" s="6" t="s">
        <v>307</v>
      </c>
      <c r="N13" s="6" t="s">
        <v>346</v>
      </c>
      <c r="O13" s="6" t="s">
        <v>309</v>
      </c>
      <c r="P13" s="6" t="s">
        <v>310</v>
      </c>
      <c r="Q13" s="33" t="s">
        <v>347</v>
      </c>
      <c r="R13" s="34" t="s">
        <v>348</v>
      </c>
      <c r="S13" s="34" t="s">
        <v>349</v>
      </c>
      <c r="T13" s="34" t="s">
        <v>350</v>
      </c>
      <c r="U13" s="24" t="s">
        <v>321</v>
      </c>
      <c r="V13" s="24" t="s">
        <v>322</v>
      </c>
      <c r="W13" s="6" t="s">
        <v>351</v>
      </c>
      <c r="X13" s="6" t="s">
        <v>312</v>
      </c>
      <c r="Y13" s="6" t="s">
        <v>324</v>
      </c>
      <c r="Z13" s="6" t="s">
        <v>352</v>
      </c>
      <c r="AA13" s="6" t="s">
        <v>353</v>
      </c>
      <c r="AB13" s="6" t="s">
        <v>354</v>
      </c>
      <c r="AC13" s="6" t="s">
        <v>355</v>
      </c>
      <c r="AD13" s="24" t="s">
        <v>356</v>
      </c>
      <c r="AE13" s="48" t="s">
        <v>357</v>
      </c>
      <c r="AF13" s="49" t="s">
        <v>358</v>
      </c>
      <c r="AG13" s="49" t="s">
        <v>359</v>
      </c>
    </row>
    <row r="14" s="2" customFormat="1" spans="1:32">
      <c r="A14" s="10" t="s">
        <v>364</v>
      </c>
      <c r="B14" s="12" t="s">
        <v>365</v>
      </c>
      <c r="C14" s="13">
        <v>3</v>
      </c>
      <c r="D14" s="14" t="s">
        <v>366</v>
      </c>
      <c r="E14" s="21">
        <v>27</v>
      </c>
      <c r="F14" s="13">
        <v>1</v>
      </c>
      <c r="G14" s="13">
        <v>8.5</v>
      </c>
      <c r="H14" s="22">
        <f>E14*F14/G14</f>
        <v>3.17647058823529</v>
      </c>
      <c r="I14" s="26">
        <v>205</v>
      </c>
      <c r="J14" s="27">
        <v>0.0022046</v>
      </c>
      <c r="K14" s="26">
        <v>205</v>
      </c>
      <c r="L14" s="26"/>
      <c r="M14" s="26">
        <f>J14*K14</f>
        <v>0.451943</v>
      </c>
      <c r="N14" s="31">
        <v>8.07</v>
      </c>
      <c r="O14" s="31">
        <v>7.09</v>
      </c>
      <c r="P14" s="31">
        <v>1.97</v>
      </c>
      <c r="Q14" s="35">
        <f>(I14*0.135+18)/G14</f>
        <v>5.37352941176471</v>
      </c>
      <c r="R14" s="35">
        <f>4.93+9.3*K14/1000</f>
        <v>6.8365</v>
      </c>
      <c r="S14" s="35">
        <f>113*1.1625/G14</f>
        <v>15.4544117647059</v>
      </c>
      <c r="T14" s="36"/>
      <c r="U14" s="40">
        <v>10.99</v>
      </c>
      <c r="V14" s="40"/>
      <c r="W14" s="40"/>
      <c r="X14" s="41">
        <v>0.35</v>
      </c>
      <c r="Y14" s="41">
        <v>0.03</v>
      </c>
      <c r="Z14" s="46">
        <f>(U14+R14)*(1-X14)*(1-Y14)</f>
        <v>11.23960825</v>
      </c>
      <c r="AA14" s="26"/>
      <c r="AB14" s="47">
        <f>Z14-Q14-H14</f>
        <v>2.68960825</v>
      </c>
      <c r="AC14" s="26"/>
      <c r="AD14" s="52">
        <f>AB14*G14</f>
        <v>22.861670125</v>
      </c>
      <c r="AE14" s="46"/>
      <c r="AF14" s="53">
        <f>AB14/(U14+R14)</f>
        <v>0.150876966875158</v>
      </c>
    </row>
    <row r="15" s="2" customFormat="1" spans="1:32">
      <c r="A15" s="10" t="s">
        <v>364</v>
      </c>
      <c r="B15" s="12" t="s">
        <v>365</v>
      </c>
      <c r="C15" s="13">
        <v>4</v>
      </c>
      <c r="D15" s="14" t="s">
        <v>367</v>
      </c>
      <c r="E15" s="21">
        <v>27</v>
      </c>
      <c r="F15" s="13">
        <v>1</v>
      </c>
      <c r="G15" s="13">
        <v>8.5</v>
      </c>
      <c r="H15" s="22">
        <f>E15*F15/G15</f>
        <v>3.17647058823529</v>
      </c>
      <c r="I15" s="26">
        <v>210</v>
      </c>
      <c r="J15" s="27">
        <v>0.0022046</v>
      </c>
      <c r="K15" s="26">
        <v>210</v>
      </c>
      <c r="L15" s="26"/>
      <c r="M15" s="26">
        <f>J15*K15</f>
        <v>0.462966</v>
      </c>
      <c r="N15" s="31">
        <v>8.07</v>
      </c>
      <c r="O15" s="31">
        <v>7.09</v>
      </c>
      <c r="P15" s="31">
        <v>1.97</v>
      </c>
      <c r="Q15" s="35">
        <f>(I15*0.135+18)/G15</f>
        <v>5.45294117647059</v>
      </c>
      <c r="R15" s="35">
        <f>4.93+9.3*K15/1000</f>
        <v>6.883</v>
      </c>
      <c r="S15" s="35">
        <f>113*1.1625/G15</f>
        <v>15.4544117647059</v>
      </c>
      <c r="T15" s="36"/>
      <c r="U15" s="40">
        <v>10.99</v>
      </c>
      <c r="V15" s="40"/>
      <c r="W15" s="40"/>
      <c r="X15" s="41">
        <v>0.35</v>
      </c>
      <c r="Y15" s="41">
        <v>0.03</v>
      </c>
      <c r="Z15" s="46">
        <f>(U15+R15)*(1-X15)*(1-Y15)</f>
        <v>11.2689265</v>
      </c>
      <c r="AA15" s="26"/>
      <c r="AB15" s="47">
        <f>Z15-Q15-H15</f>
        <v>2.63951473529412</v>
      </c>
      <c r="AC15" s="26"/>
      <c r="AD15" s="52">
        <f>AB15*G15</f>
        <v>22.43587525</v>
      </c>
      <c r="AE15" s="46"/>
      <c r="AF15" s="53">
        <f>AB15/(U15+R15)</f>
        <v>0.14768168384122</v>
      </c>
    </row>
    <row r="16" customFormat="1"/>
    <row r="17" customFormat="1"/>
    <row r="18" customFormat="1"/>
    <row r="19" customFormat="1"/>
    <row r="20" customFormat="1"/>
    <row r="21" customFormat="1"/>
    <row r="23" s="3" customFormat="1" ht="30" customHeight="1" spans="1:33">
      <c r="A23" s="5" t="s">
        <v>297</v>
      </c>
      <c r="B23" s="6" t="s">
        <v>298</v>
      </c>
      <c r="C23" s="6" t="s">
        <v>299</v>
      </c>
      <c r="D23" s="7" t="s">
        <v>13</v>
      </c>
      <c r="E23" s="7" t="s">
        <v>300</v>
      </c>
      <c r="F23" s="7" t="s">
        <v>154</v>
      </c>
      <c r="G23" s="7" t="s">
        <v>301</v>
      </c>
      <c r="H23" s="5" t="s">
        <v>302</v>
      </c>
      <c r="I23" s="6" t="s">
        <v>303</v>
      </c>
      <c r="J23" s="6" t="s">
        <v>304</v>
      </c>
      <c r="K23" s="6" t="s">
        <v>305</v>
      </c>
      <c r="L23" s="24" t="s">
        <v>306</v>
      </c>
      <c r="M23" s="6" t="s">
        <v>307</v>
      </c>
      <c r="N23" s="6" t="s">
        <v>346</v>
      </c>
      <c r="O23" s="6" t="s">
        <v>309</v>
      </c>
      <c r="P23" s="6" t="s">
        <v>310</v>
      </c>
      <c r="Q23" s="33" t="s">
        <v>347</v>
      </c>
      <c r="R23" s="6" t="s">
        <v>368</v>
      </c>
      <c r="S23" s="6" t="s">
        <v>369</v>
      </c>
      <c r="T23" s="6" t="s">
        <v>370</v>
      </c>
      <c r="U23" s="42" t="s">
        <v>321</v>
      </c>
      <c r="V23" s="42" t="s">
        <v>322</v>
      </c>
      <c r="W23" s="6" t="s">
        <v>351</v>
      </c>
      <c r="X23" s="6" t="s">
        <v>312</v>
      </c>
      <c r="Y23" s="6" t="s">
        <v>324</v>
      </c>
      <c r="Z23" s="6" t="s">
        <v>352</v>
      </c>
      <c r="AA23" s="6" t="s">
        <v>371</v>
      </c>
      <c r="AB23" s="6" t="s">
        <v>354</v>
      </c>
      <c r="AC23" s="6" t="s">
        <v>372</v>
      </c>
      <c r="AD23" s="24" t="s">
        <v>356</v>
      </c>
      <c r="AE23" s="6" t="s">
        <v>373</v>
      </c>
      <c r="AF23" s="6" t="s">
        <v>358</v>
      </c>
      <c r="AG23" s="6" t="s">
        <v>374</v>
      </c>
    </row>
    <row r="24" s="4" customFormat="1" spans="1:33">
      <c r="A24" s="15" t="s">
        <v>375</v>
      </c>
      <c r="B24" s="16" t="s">
        <v>376</v>
      </c>
      <c r="C24" s="16">
        <v>6</v>
      </c>
      <c r="D24" s="17" t="s">
        <v>182</v>
      </c>
      <c r="E24" s="16">
        <v>27</v>
      </c>
      <c r="F24" s="16">
        <v>1</v>
      </c>
      <c r="G24" s="16">
        <v>0.056</v>
      </c>
      <c r="H24" s="23">
        <f>E24*F24/G24</f>
        <v>482.142857142857</v>
      </c>
      <c r="I24" s="23"/>
      <c r="J24" s="23"/>
      <c r="K24" s="28">
        <v>219</v>
      </c>
      <c r="L24" s="28">
        <f>K24/1000</f>
        <v>0.219</v>
      </c>
      <c r="M24" s="28"/>
      <c r="N24" s="32">
        <v>20</v>
      </c>
      <c r="O24" s="32">
        <v>18</v>
      </c>
      <c r="P24" s="32">
        <v>5</v>
      </c>
      <c r="Q24" s="37">
        <f>(0.05*K24+15)/G24</f>
        <v>463.392857142857</v>
      </c>
      <c r="R24" s="37">
        <f>340+800*K24/1000</f>
        <v>515.2</v>
      </c>
      <c r="S24" s="37">
        <f>55/G24</f>
        <v>982.142857142857</v>
      </c>
      <c r="T24" s="37">
        <f>800+1300*K24/1000</f>
        <v>1084.7</v>
      </c>
      <c r="U24" s="43">
        <v>1239</v>
      </c>
      <c r="V24" s="43"/>
      <c r="W24" s="37">
        <v>1999</v>
      </c>
      <c r="X24" s="44">
        <v>0.15</v>
      </c>
      <c r="Y24" s="44">
        <v>0.03</v>
      </c>
      <c r="Z24" s="37">
        <f>(U24+R24)*0.85*0.97</f>
        <v>1446.3379</v>
      </c>
      <c r="AA24" s="37">
        <f>(U24+S24)*0.85*0.97</f>
        <v>1831.33228571429</v>
      </c>
      <c r="AB24" s="37">
        <f>Z24-Q24-H24</f>
        <v>500.802185714286</v>
      </c>
      <c r="AC24" s="37">
        <f>AA24-T24-E24</f>
        <v>719.632285714285</v>
      </c>
      <c r="AD24" s="54">
        <f>AB24*G24</f>
        <v>28.0449224</v>
      </c>
      <c r="AE24" s="37">
        <f>AC24*G24</f>
        <v>40.299408</v>
      </c>
      <c r="AF24" s="55">
        <f>AB24/U24</f>
        <v>0.404198697105961</v>
      </c>
      <c r="AG24" s="55">
        <f>AC24/(T24+U24)</f>
        <v>0.309692424028182</v>
      </c>
    </row>
    <row r="25" s="4" customFormat="1" spans="1:33">
      <c r="A25" s="15" t="s">
        <v>375</v>
      </c>
      <c r="B25" s="16" t="s">
        <v>376</v>
      </c>
      <c r="C25" s="16">
        <v>6</v>
      </c>
      <c r="D25" s="18" t="s">
        <v>229</v>
      </c>
      <c r="E25" s="16">
        <v>27</v>
      </c>
      <c r="F25" s="16">
        <v>1</v>
      </c>
      <c r="G25" s="16">
        <v>0.056</v>
      </c>
      <c r="H25" s="23">
        <f>E25*F25/G25</f>
        <v>482.142857142857</v>
      </c>
      <c r="I25" s="23"/>
      <c r="J25" s="23"/>
      <c r="K25" s="28">
        <v>219</v>
      </c>
      <c r="L25" s="28">
        <f>K25/1000</f>
        <v>0.219</v>
      </c>
      <c r="M25" s="28"/>
      <c r="N25" s="32">
        <v>20</v>
      </c>
      <c r="O25" s="32">
        <v>18</v>
      </c>
      <c r="P25" s="32">
        <v>5</v>
      </c>
      <c r="Q25" s="37">
        <f>(0.05*K25+15)/G25</f>
        <v>463.392857142857</v>
      </c>
      <c r="R25" s="37">
        <f>340+800*K25/1000</f>
        <v>515.2</v>
      </c>
      <c r="S25" s="37">
        <f>55/G25</f>
        <v>982.142857142857</v>
      </c>
      <c r="T25" s="37">
        <f>800+1300*K25/1000</f>
        <v>1084.7</v>
      </c>
      <c r="U25" s="43">
        <v>1239</v>
      </c>
      <c r="V25" s="43"/>
      <c r="W25" s="37">
        <v>1999</v>
      </c>
      <c r="X25" s="44">
        <v>0.15</v>
      </c>
      <c r="Y25" s="44">
        <v>0.03</v>
      </c>
      <c r="Z25" s="37">
        <f>(U25+R25)*0.85*0.97</f>
        <v>1446.3379</v>
      </c>
      <c r="AA25" s="37">
        <f>(U25+S25)*0.85*0.97</f>
        <v>1831.33228571429</v>
      </c>
      <c r="AB25" s="37">
        <f>Z25-Q25-H25</f>
        <v>500.802185714286</v>
      </c>
      <c r="AC25" s="37">
        <f>AA25-T25-E25</f>
        <v>719.632285714285</v>
      </c>
      <c r="AD25" s="54">
        <f>AB25*G25</f>
        <v>28.0449224</v>
      </c>
      <c r="AE25" s="37">
        <f>AC25*G25</f>
        <v>40.299408</v>
      </c>
      <c r="AF25" s="55">
        <f>AB25/U25</f>
        <v>0.404198697105961</v>
      </c>
      <c r="AG25" s="55">
        <f>AC25/(T25+U25)</f>
        <v>0.309692424028182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规则说明！</vt:lpstr>
      <vt:lpstr>US-原数据</vt:lpstr>
      <vt:lpstr>CA-原数据</vt:lpstr>
      <vt:lpstr>JP-原数据</vt:lpstr>
      <vt:lpstr>UK-原数据</vt:lpstr>
      <vt:lpstr>自发运费</vt:lpstr>
      <vt:lpstr>SKU-亚</vt:lpstr>
      <vt:lpstr>SKU-自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陆小小洪</cp:lastModifiedBy>
  <dcterms:created xsi:type="dcterms:W3CDTF">2017-03-05T04:54:00Z</dcterms:created>
  <dcterms:modified xsi:type="dcterms:W3CDTF">2022-07-21T14:33:37Z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2052-3.9.4.6407</vt:lpwstr>
  </property>
  <property fmtid="{D5CDD505-2E9C-101B-9397-08002B2CF9AE}" pid="3" name="ICV">
    <vt:lpwstr>760F051D9A1E49BC8BE7CA69A37D8E73</vt:lpwstr>
  </property>
</Properties>
</file>